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9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0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1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13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DRKG\Documents\P-102\"/>
    </mc:Choice>
  </mc:AlternateContent>
  <xr:revisionPtr revIDLastSave="0" documentId="13_ncr:1_{37ADAA4C-F0FA-4964-8F27-FDD178F59F3E}" xr6:coauthVersionLast="40" xr6:coauthVersionMax="40" xr10:uidLastSave="{00000000-0000-0000-0000-000000000000}"/>
  <bookViews>
    <workbookView xWindow="0" yWindow="0" windowWidth="29355" windowHeight="15630" tabRatio="886" xr2:uid="{00000000-000D-0000-FFFF-FFFF00000000}"/>
  </bookViews>
  <sheets>
    <sheet name="Bayes-Binomial" sheetId="11" r:id="rId1"/>
    <sheet name="Bayes-Poisson" sheetId="12" r:id="rId2"/>
    <sheet name="Bayes-Exponential" sheetId="13" r:id="rId3"/>
    <sheet name="Beta" sheetId="6" r:id="rId4"/>
    <sheet name="Binomial" sheetId="15" r:id="rId5"/>
    <sheet name="Exponential" sheetId="10" r:id="rId6"/>
    <sheet name="Gamma" sheetId="9" r:id="rId7"/>
    <sheet name="GEV" sheetId="16" r:id="rId8"/>
    <sheet name="Lognormal" sheetId="7" r:id="rId9"/>
    <sheet name="Normal" sheetId="1" r:id="rId10"/>
    <sheet name="Poisson" sheetId="8" r:id="rId11"/>
    <sheet name="Uniform" sheetId="17" r:id="rId12"/>
    <sheet name="Weibull" sheetId="14" r:id="rId13"/>
    <sheet name="Calc_Area" sheetId="3" r:id="rId14"/>
  </sheets>
  <definedNames>
    <definedName name="Norm_Area">Calc_Area!$G$6:$G$105</definedName>
    <definedName name="Norm_Seq">Calc_Area!$D$6:$D$105</definedName>
    <definedName name="Norm_X">Calc_Area!$E$6:$E$105</definedName>
    <definedName name="Norm_Y">Calc_Area!$F$6:$F$105</definedName>
    <definedName name="OLE_LINK2" localSheetId="5">Exponential!$C$9</definedName>
    <definedName name="OLE_LINK2" localSheetId="6">Gamma!$C$9</definedName>
    <definedName name="OLE_LINK2" localSheetId="7">GEV!$C$10</definedName>
    <definedName name="OLE_LINK2" localSheetId="12">Weibull!$C$9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6" l="1"/>
  <c r="C17" i="16"/>
  <c r="C18" i="16"/>
  <c r="C19" i="16"/>
  <c r="C34" i="17"/>
  <c r="D34" i="17"/>
  <c r="C35" i="17"/>
  <c r="D35" i="17"/>
  <c r="C36" i="17"/>
  <c r="D36" i="17"/>
  <c r="C37" i="17"/>
  <c r="D37" i="17"/>
  <c r="C38" i="17"/>
  <c r="D38" i="17"/>
  <c r="C39" i="17"/>
  <c r="D39" i="17"/>
  <c r="C40" i="17"/>
  <c r="D40" i="17"/>
  <c r="C41" i="17"/>
  <c r="D41" i="17"/>
  <c r="C42" i="17"/>
  <c r="D42" i="17"/>
  <c r="C43" i="17"/>
  <c r="D43" i="17"/>
  <c r="C44" i="17"/>
  <c r="D44" i="17"/>
  <c r="C45" i="17"/>
  <c r="D45" i="17"/>
  <c r="C46" i="17"/>
  <c r="D46" i="17"/>
  <c r="C47" i="17"/>
  <c r="D47" i="17"/>
  <c r="C48" i="17"/>
  <c r="D48" i="17"/>
  <c r="C49" i="17"/>
  <c r="D49" i="17"/>
  <c r="C50" i="17"/>
  <c r="D50" i="17"/>
  <c r="C51" i="17"/>
  <c r="D51" i="17"/>
  <c r="C52" i="17"/>
  <c r="D52" i="17"/>
  <c r="C53" i="17"/>
  <c r="D53" i="17"/>
  <c r="C54" i="17"/>
  <c r="D54" i="17"/>
  <c r="C55" i="17"/>
  <c r="D55" i="17"/>
  <c r="C56" i="17"/>
  <c r="D56" i="17"/>
  <c r="C57" i="17"/>
  <c r="D57" i="17"/>
  <c r="C58" i="17"/>
  <c r="D58" i="17"/>
  <c r="C59" i="17"/>
  <c r="D59" i="17"/>
  <c r="C60" i="17"/>
  <c r="D60" i="17"/>
  <c r="C61" i="17"/>
  <c r="D61" i="17"/>
  <c r="C62" i="17"/>
  <c r="D62" i="17"/>
  <c r="C63" i="17"/>
  <c r="D63" i="17"/>
  <c r="C64" i="17"/>
  <c r="D64" i="17"/>
  <c r="C65" i="17"/>
  <c r="D65" i="17"/>
  <c r="C66" i="17"/>
  <c r="D66" i="17"/>
  <c r="C67" i="17"/>
  <c r="D67" i="17"/>
  <c r="C68" i="17"/>
  <c r="D68" i="17"/>
  <c r="C69" i="17"/>
  <c r="D69" i="17"/>
  <c r="C70" i="17"/>
  <c r="D70" i="17"/>
  <c r="C71" i="17"/>
  <c r="D71" i="17"/>
  <c r="C72" i="17"/>
  <c r="D72" i="17"/>
  <c r="C73" i="17"/>
  <c r="D73" i="17"/>
  <c r="C74" i="17"/>
  <c r="D74" i="17"/>
  <c r="C75" i="17"/>
  <c r="D75" i="17"/>
  <c r="C76" i="17"/>
  <c r="D76" i="17"/>
  <c r="C77" i="17"/>
  <c r="D77" i="17"/>
  <c r="C78" i="17"/>
  <c r="D78" i="17"/>
  <c r="C79" i="17"/>
  <c r="D79" i="17"/>
  <c r="C80" i="17"/>
  <c r="D80" i="17"/>
  <c r="C81" i="17"/>
  <c r="D81" i="17"/>
  <c r="C82" i="17"/>
  <c r="D82" i="17"/>
  <c r="C83" i="17"/>
  <c r="D83" i="17"/>
  <c r="C84" i="17"/>
  <c r="D84" i="17"/>
  <c r="C85" i="17"/>
  <c r="D85" i="17"/>
  <c r="C86" i="17"/>
  <c r="D86" i="17"/>
  <c r="C87" i="17"/>
  <c r="D87" i="17"/>
  <c r="C88" i="17"/>
  <c r="D88" i="17"/>
  <c r="C89" i="17"/>
  <c r="D89" i="17"/>
  <c r="C90" i="17"/>
  <c r="D90" i="17"/>
  <c r="C91" i="17"/>
  <c r="D91" i="17"/>
  <c r="C92" i="17"/>
  <c r="D92" i="17"/>
  <c r="C93" i="17"/>
  <c r="D93" i="17"/>
  <c r="C94" i="17"/>
  <c r="D94" i="17"/>
  <c r="C95" i="17"/>
  <c r="D95" i="17"/>
  <c r="C96" i="17"/>
  <c r="D96" i="17"/>
  <c r="C97" i="17"/>
  <c r="D97" i="17"/>
  <c r="C98" i="17"/>
  <c r="D98" i="17"/>
  <c r="C99" i="17"/>
  <c r="D99" i="17"/>
  <c r="C100" i="17"/>
  <c r="D100" i="17"/>
  <c r="C101" i="17"/>
  <c r="D101" i="17"/>
  <c r="C102" i="17"/>
  <c r="D102" i="17"/>
  <c r="C103" i="17"/>
  <c r="D103" i="17"/>
  <c r="C104" i="17"/>
  <c r="D104" i="17"/>
  <c r="C105" i="17"/>
  <c r="D105" i="17"/>
  <c r="C106" i="17"/>
  <c r="D106" i="17"/>
  <c r="C107" i="17"/>
  <c r="D107" i="17"/>
  <c r="C108" i="17"/>
  <c r="D108" i="17"/>
  <c r="C109" i="17"/>
  <c r="D109" i="17"/>
  <c r="C110" i="17"/>
  <c r="D110" i="17"/>
  <c r="C111" i="17"/>
  <c r="D111" i="17"/>
  <c r="C112" i="17"/>
  <c r="D112" i="17"/>
  <c r="C113" i="17"/>
  <c r="D113" i="17"/>
  <c r="C114" i="17"/>
  <c r="D114" i="17"/>
  <c r="C115" i="17"/>
  <c r="D115" i="17"/>
  <c r="C116" i="17"/>
  <c r="D116" i="17"/>
  <c r="C117" i="17"/>
  <c r="D117" i="17"/>
  <c r="C118" i="17"/>
  <c r="D118" i="17"/>
  <c r="C119" i="17"/>
  <c r="D119" i="17"/>
  <c r="C120" i="17"/>
  <c r="D120" i="17"/>
  <c r="C121" i="17"/>
  <c r="D121" i="17"/>
  <c r="C122" i="17"/>
  <c r="D122" i="17"/>
  <c r="C123" i="17"/>
  <c r="D123" i="17"/>
  <c r="C124" i="17"/>
  <c r="D124" i="17"/>
  <c r="C125" i="17"/>
  <c r="D125" i="17"/>
  <c r="C126" i="17"/>
  <c r="D126" i="17"/>
  <c r="C127" i="17"/>
  <c r="D127" i="17"/>
  <c r="C128" i="17"/>
  <c r="D128" i="17"/>
  <c r="C129" i="17"/>
  <c r="D129" i="17"/>
  <c r="C130" i="17"/>
  <c r="D130" i="17"/>
  <c r="C131" i="17"/>
  <c r="D131" i="17"/>
  <c r="C132" i="17"/>
  <c r="D132" i="17"/>
  <c r="C33" i="17"/>
  <c r="D33" i="17"/>
  <c r="C18" i="17"/>
  <c r="D17" i="17"/>
  <c r="D18" i="17"/>
  <c r="B1248" i="3"/>
  <c r="B1249" i="3"/>
  <c r="B1247" i="3"/>
  <c r="B1246" i="3"/>
  <c r="B1252" i="3"/>
  <c r="E1243" i="3"/>
  <c r="C16" i="8"/>
  <c r="C16" i="1"/>
  <c r="C16" i="7"/>
  <c r="C16" i="9"/>
  <c r="C16" i="10"/>
  <c r="C16" i="15"/>
  <c r="C16" i="6"/>
  <c r="C16" i="17"/>
  <c r="D16" i="17"/>
  <c r="D15" i="17"/>
  <c r="B1245" i="3"/>
  <c r="B1244" i="3"/>
  <c r="H1243" i="3"/>
  <c r="I1243" i="3"/>
  <c r="E1244" i="3"/>
  <c r="H1244" i="3"/>
  <c r="I1244" i="3"/>
  <c r="E1245" i="3"/>
  <c r="H1245" i="3"/>
  <c r="I1245" i="3"/>
  <c r="E1246" i="3"/>
  <c r="H1246" i="3"/>
  <c r="I1246" i="3"/>
  <c r="E1247" i="3"/>
  <c r="H1247" i="3"/>
  <c r="I1247" i="3"/>
  <c r="E1248" i="3"/>
  <c r="H1248" i="3"/>
  <c r="I1248" i="3"/>
  <c r="E1249" i="3"/>
  <c r="H1249" i="3"/>
  <c r="I1249" i="3"/>
  <c r="E1250" i="3"/>
  <c r="H1250" i="3"/>
  <c r="I1250" i="3"/>
  <c r="E1251" i="3"/>
  <c r="H1251" i="3"/>
  <c r="I1251" i="3"/>
  <c r="E1252" i="3"/>
  <c r="H1252" i="3"/>
  <c r="I1252" i="3"/>
  <c r="E1253" i="3"/>
  <c r="H1253" i="3"/>
  <c r="I1253" i="3"/>
  <c r="E1254" i="3"/>
  <c r="H1254" i="3"/>
  <c r="I1254" i="3"/>
  <c r="E1255" i="3"/>
  <c r="H1255" i="3"/>
  <c r="I1255" i="3"/>
  <c r="E1256" i="3"/>
  <c r="H1256" i="3"/>
  <c r="I1256" i="3"/>
  <c r="E1257" i="3"/>
  <c r="H1257" i="3"/>
  <c r="I1257" i="3"/>
  <c r="E1258" i="3"/>
  <c r="H1258" i="3"/>
  <c r="I1258" i="3"/>
  <c r="E1259" i="3"/>
  <c r="H1259" i="3"/>
  <c r="I1259" i="3"/>
  <c r="E1260" i="3"/>
  <c r="H1260" i="3"/>
  <c r="I1260" i="3"/>
  <c r="E1261" i="3"/>
  <c r="H1261" i="3"/>
  <c r="I1261" i="3"/>
  <c r="E1262" i="3"/>
  <c r="H1262" i="3"/>
  <c r="I1262" i="3"/>
  <c r="E1263" i="3"/>
  <c r="H1263" i="3"/>
  <c r="I1263" i="3"/>
  <c r="E1264" i="3"/>
  <c r="H1264" i="3"/>
  <c r="I1264" i="3"/>
  <c r="E1265" i="3"/>
  <c r="H1265" i="3"/>
  <c r="I1265" i="3"/>
  <c r="E1266" i="3"/>
  <c r="H1266" i="3"/>
  <c r="I1266" i="3"/>
  <c r="E1267" i="3"/>
  <c r="H1267" i="3"/>
  <c r="I1267" i="3"/>
  <c r="E1268" i="3"/>
  <c r="H1268" i="3"/>
  <c r="I1268" i="3"/>
  <c r="E1269" i="3"/>
  <c r="H1269" i="3"/>
  <c r="I1269" i="3"/>
  <c r="E1270" i="3"/>
  <c r="H1270" i="3"/>
  <c r="I1270" i="3"/>
  <c r="E1271" i="3"/>
  <c r="H1271" i="3"/>
  <c r="I1271" i="3"/>
  <c r="E1272" i="3"/>
  <c r="H1272" i="3"/>
  <c r="I1272" i="3"/>
  <c r="E1273" i="3"/>
  <c r="H1273" i="3"/>
  <c r="I1273" i="3"/>
  <c r="E1274" i="3"/>
  <c r="H1274" i="3"/>
  <c r="I1274" i="3"/>
  <c r="E1275" i="3"/>
  <c r="H1275" i="3"/>
  <c r="I1275" i="3"/>
  <c r="E1276" i="3"/>
  <c r="H1276" i="3"/>
  <c r="I1276" i="3"/>
  <c r="E1277" i="3"/>
  <c r="H1277" i="3"/>
  <c r="I1277" i="3"/>
  <c r="E1278" i="3"/>
  <c r="H1278" i="3"/>
  <c r="I1278" i="3"/>
  <c r="E1279" i="3"/>
  <c r="H1279" i="3"/>
  <c r="I1279" i="3"/>
  <c r="E1280" i="3"/>
  <c r="H1280" i="3"/>
  <c r="I1280" i="3"/>
  <c r="E1281" i="3"/>
  <c r="H1281" i="3"/>
  <c r="I1281" i="3"/>
  <c r="E1282" i="3"/>
  <c r="H1282" i="3"/>
  <c r="I1282" i="3"/>
  <c r="E1283" i="3"/>
  <c r="H1283" i="3"/>
  <c r="I1283" i="3"/>
  <c r="E1284" i="3"/>
  <c r="H1284" i="3"/>
  <c r="I1284" i="3"/>
  <c r="E1285" i="3"/>
  <c r="H1285" i="3"/>
  <c r="I1285" i="3"/>
  <c r="E1286" i="3"/>
  <c r="H1286" i="3"/>
  <c r="I1286" i="3"/>
  <c r="E1287" i="3"/>
  <c r="H1287" i="3"/>
  <c r="I1287" i="3"/>
  <c r="E1288" i="3"/>
  <c r="H1288" i="3"/>
  <c r="I1288" i="3"/>
  <c r="E1289" i="3"/>
  <c r="H1289" i="3"/>
  <c r="I1289" i="3"/>
  <c r="E1290" i="3"/>
  <c r="H1290" i="3"/>
  <c r="I1290" i="3"/>
  <c r="E1291" i="3"/>
  <c r="H1291" i="3"/>
  <c r="I1291" i="3"/>
  <c r="E1292" i="3"/>
  <c r="H1292" i="3"/>
  <c r="I1292" i="3"/>
  <c r="E1293" i="3"/>
  <c r="H1293" i="3"/>
  <c r="I1293" i="3"/>
  <c r="E1294" i="3"/>
  <c r="H1294" i="3"/>
  <c r="I1294" i="3"/>
  <c r="E1295" i="3"/>
  <c r="H1295" i="3"/>
  <c r="I1295" i="3"/>
  <c r="E1296" i="3"/>
  <c r="H1296" i="3"/>
  <c r="I1296" i="3"/>
  <c r="E1297" i="3"/>
  <c r="H1297" i="3"/>
  <c r="I1297" i="3"/>
  <c r="E1298" i="3"/>
  <c r="H1298" i="3"/>
  <c r="I1298" i="3"/>
  <c r="E1299" i="3"/>
  <c r="H1299" i="3"/>
  <c r="I1299" i="3"/>
  <c r="E1300" i="3"/>
  <c r="H1300" i="3"/>
  <c r="I1300" i="3"/>
  <c r="E1301" i="3"/>
  <c r="H1301" i="3"/>
  <c r="I1301" i="3"/>
  <c r="E1302" i="3"/>
  <c r="H1302" i="3"/>
  <c r="I1302" i="3"/>
  <c r="E1303" i="3"/>
  <c r="H1303" i="3"/>
  <c r="I1303" i="3"/>
  <c r="E1304" i="3"/>
  <c r="H1304" i="3"/>
  <c r="I1304" i="3"/>
  <c r="E1305" i="3"/>
  <c r="H1305" i="3"/>
  <c r="I1305" i="3"/>
  <c r="E1306" i="3"/>
  <c r="H1306" i="3"/>
  <c r="I1306" i="3"/>
  <c r="E1307" i="3"/>
  <c r="H1307" i="3"/>
  <c r="I1307" i="3"/>
  <c r="E1308" i="3"/>
  <c r="H1308" i="3"/>
  <c r="I1308" i="3"/>
  <c r="E1309" i="3"/>
  <c r="H1309" i="3"/>
  <c r="I1309" i="3"/>
  <c r="E1310" i="3"/>
  <c r="I1310" i="3"/>
  <c r="E1311" i="3"/>
  <c r="I1311" i="3"/>
  <c r="E1312" i="3"/>
  <c r="I1312" i="3"/>
  <c r="E1313" i="3"/>
  <c r="I1313" i="3"/>
  <c r="E1314" i="3"/>
  <c r="I1314" i="3"/>
  <c r="E1315" i="3"/>
  <c r="I1315" i="3"/>
  <c r="E1316" i="3"/>
  <c r="I1316" i="3"/>
  <c r="E1317" i="3"/>
  <c r="I1317" i="3"/>
  <c r="E1318" i="3"/>
  <c r="I1318" i="3"/>
  <c r="E1319" i="3"/>
  <c r="I1319" i="3"/>
  <c r="E1320" i="3"/>
  <c r="I1320" i="3"/>
  <c r="E1321" i="3"/>
  <c r="I1321" i="3"/>
  <c r="E1322" i="3"/>
  <c r="I1322" i="3"/>
  <c r="E1323" i="3"/>
  <c r="I1323" i="3"/>
  <c r="E1324" i="3"/>
  <c r="I1324" i="3"/>
  <c r="E1325" i="3"/>
  <c r="I1325" i="3"/>
  <c r="E1326" i="3"/>
  <c r="I1326" i="3"/>
  <c r="E1327" i="3"/>
  <c r="I1327" i="3"/>
  <c r="E1328" i="3"/>
  <c r="I1328" i="3"/>
  <c r="E1329" i="3"/>
  <c r="I1329" i="3"/>
  <c r="E1330" i="3"/>
  <c r="I1330" i="3"/>
  <c r="E1331" i="3"/>
  <c r="I1331" i="3"/>
  <c r="E1332" i="3"/>
  <c r="I1332" i="3"/>
  <c r="E1333" i="3"/>
  <c r="I1333" i="3"/>
  <c r="E1334" i="3"/>
  <c r="I1334" i="3"/>
  <c r="E1335" i="3"/>
  <c r="I1335" i="3"/>
  <c r="E1336" i="3"/>
  <c r="I1336" i="3"/>
  <c r="E1337" i="3"/>
  <c r="I1337" i="3"/>
  <c r="E1338" i="3"/>
  <c r="I1338" i="3"/>
  <c r="E1339" i="3"/>
  <c r="I1339" i="3"/>
  <c r="E1340" i="3"/>
  <c r="I1340" i="3"/>
  <c r="E1341" i="3"/>
  <c r="I1341" i="3"/>
  <c r="E1242" i="3"/>
  <c r="H1242" i="3"/>
  <c r="I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H1310" i="3"/>
  <c r="H1311" i="3"/>
  <c r="H1312" i="3"/>
  <c r="H1313" i="3"/>
  <c r="H1314" i="3"/>
  <c r="H1315" i="3"/>
  <c r="H1316" i="3"/>
  <c r="H1317" i="3"/>
  <c r="H1318" i="3"/>
  <c r="H1319" i="3"/>
  <c r="H1320" i="3"/>
  <c r="H1321" i="3"/>
  <c r="H1322" i="3"/>
  <c r="H1323" i="3"/>
  <c r="H1324" i="3"/>
  <c r="H1325" i="3"/>
  <c r="H1326" i="3"/>
  <c r="H1327" i="3"/>
  <c r="H1328" i="3"/>
  <c r="H1329" i="3"/>
  <c r="H1330" i="3"/>
  <c r="H1331" i="3"/>
  <c r="H1332" i="3"/>
  <c r="H1333" i="3"/>
  <c r="H1334" i="3"/>
  <c r="H1335" i="3"/>
  <c r="H1336" i="3"/>
  <c r="H1337" i="3"/>
  <c r="H1338" i="3"/>
  <c r="H1339" i="3"/>
  <c r="H1340" i="3"/>
  <c r="H1341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242" i="3"/>
  <c r="D22" i="17"/>
  <c r="D21" i="17"/>
  <c r="B1243" i="3"/>
  <c r="D26" i="17"/>
  <c r="D25" i="17"/>
  <c r="D24" i="17"/>
  <c r="D20" i="17"/>
  <c r="B1242" i="3"/>
  <c r="K1341" i="3"/>
  <c r="K1340" i="3"/>
  <c r="K1339" i="3"/>
  <c r="K1338" i="3"/>
  <c r="K1337" i="3"/>
  <c r="K1336" i="3"/>
  <c r="K1335" i="3"/>
  <c r="K1334" i="3"/>
  <c r="K1333" i="3"/>
  <c r="K1332" i="3"/>
  <c r="K1331" i="3"/>
  <c r="K1330" i="3"/>
  <c r="K1329" i="3"/>
  <c r="K1328" i="3"/>
  <c r="K1327" i="3"/>
  <c r="K1326" i="3"/>
  <c r="K1325" i="3"/>
  <c r="K1324" i="3"/>
  <c r="K1323" i="3"/>
  <c r="K1322" i="3"/>
  <c r="K1321" i="3"/>
  <c r="K1320" i="3"/>
  <c r="K1319" i="3"/>
  <c r="K1318" i="3"/>
  <c r="K1317" i="3"/>
  <c r="K1316" i="3"/>
  <c r="K1315" i="3"/>
  <c r="K1314" i="3"/>
  <c r="K1313" i="3"/>
  <c r="K1312" i="3"/>
  <c r="K1311" i="3"/>
  <c r="K1310" i="3"/>
  <c r="K1309" i="3"/>
  <c r="K1308" i="3"/>
  <c r="K1307" i="3"/>
  <c r="K1306" i="3"/>
  <c r="K1305" i="3"/>
  <c r="K1304" i="3"/>
  <c r="K1303" i="3"/>
  <c r="K1302" i="3"/>
  <c r="K1301" i="3"/>
  <c r="K1300" i="3"/>
  <c r="K1299" i="3"/>
  <c r="K1298" i="3"/>
  <c r="K1297" i="3"/>
  <c r="K1296" i="3"/>
  <c r="K1295" i="3"/>
  <c r="K1294" i="3"/>
  <c r="K1293" i="3"/>
  <c r="K1292" i="3"/>
  <c r="K1291" i="3"/>
  <c r="K1290" i="3"/>
  <c r="K1289" i="3"/>
  <c r="K1288" i="3"/>
  <c r="K1287" i="3"/>
  <c r="K1286" i="3"/>
  <c r="K1285" i="3"/>
  <c r="K1284" i="3"/>
  <c r="K1283" i="3"/>
  <c r="K1282" i="3"/>
  <c r="K1281" i="3"/>
  <c r="K1280" i="3"/>
  <c r="K1279" i="3"/>
  <c r="K1278" i="3"/>
  <c r="K1277" i="3"/>
  <c r="K1276" i="3"/>
  <c r="K1275" i="3"/>
  <c r="K1274" i="3"/>
  <c r="K1273" i="3"/>
  <c r="K1272" i="3"/>
  <c r="K1271" i="3"/>
  <c r="K1270" i="3"/>
  <c r="K1269" i="3"/>
  <c r="K1268" i="3"/>
  <c r="K1267" i="3"/>
  <c r="K1266" i="3"/>
  <c r="K1265" i="3"/>
  <c r="K1264" i="3"/>
  <c r="K1263" i="3"/>
  <c r="K1262" i="3"/>
  <c r="K1261" i="3"/>
  <c r="K1260" i="3"/>
  <c r="K1259" i="3"/>
  <c r="K1258" i="3"/>
  <c r="M1246" i="3"/>
  <c r="M1247" i="3"/>
  <c r="C33" i="6"/>
  <c r="D33" i="6"/>
  <c r="K108" i="3"/>
  <c r="C34" i="6"/>
  <c r="D34" i="6"/>
  <c r="K109" i="3"/>
  <c r="C35" i="6"/>
  <c r="D35" i="6"/>
  <c r="K110" i="3"/>
  <c r="C36" i="6"/>
  <c r="D36" i="6"/>
  <c r="K111" i="3"/>
  <c r="C37" i="6"/>
  <c r="D37" i="6"/>
  <c r="K112" i="3"/>
  <c r="C38" i="6"/>
  <c r="D38" i="6"/>
  <c r="K113" i="3"/>
  <c r="C39" i="6"/>
  <c r="D39" i="6"/>
  <c r="K114" i="3"/>
  <c r="C40" i="6"/>
  <c r="D40" i="6"/>
  <c r="K115" i="3"/>
  <c r="C41" i="6"/>
  <c r="D41" i="6"/>
  <c r="K116" i="3"/>
  <c r="C42" i="6"/>
  <c r="D42" i="6"/>
  <c r="K117" i="3"/>
  <c r="C43" i="6"/>
  <c r="D43" i="6"/>
  <c r="K118" i="3"/>
  <c r="C44" i="6"/>
  <c r="D44" i="6"/>
  <c r="K119" i="3"/>
  <c r="C45" i="6"/>
  <c r="D45" i="6"/>
  <c r="K120" i="3"/>
  <c r="C46" i="6"/>
  <c r="D46" i="6"/>
  <c r="K121" i="3"/>
  <c r="C47" i="6"/>
  <c r="D47" i="6"/>
  <c r="K122" i="3"/>
  <c r="C48" i="6"/>
  <c r="D48" i="6"/>
  <c r="K123" i="3"/>
  <c r="C49" i="6"/>
  <c r="D49" i="6"/>
  <c r="K124" i="3"/>
  <c r="C50" i="6"/>
  <c r="D50" i="6"/>
  <c r="K125" i="3"/>
  <c r="C51" i="6"/>
  <c r="D51" i="6"/>
  <c r="K126" i="3"/>
  <c r="C52" i="6"/>
  <c r="D52" i="6"/>
  <c r="K127" i="3"/>
  <c r="C53" i="6"/>
  <c r="D53" i="6"/>
  <c r="K128" i="3"/>
  <c r="C54" i="6"/>
  <c r="D54" i="6"/>
  <c r="K129" i="3"/>
  <c r="C55" i="6"/>
  <c r="D55" i="6"/>
  <c r="K130" i="3"/>
  <c r="C56" i="6"/>
  <c r="D56" i="6"/>
  <c r="K131" i="3"/>
  <c r="C57" i="6"/>
  <c r="D57" i="6"/>
  <c r="K132" i="3"/>
  <c r="C58" i="6"/>
  <c r="D58" i="6"/>
  <c r="K133" i="3"/>
  <c r="C59" i="6"/>
  <c r="D59" i="6"/>
  <c r="K134" i="3"/>
  <c r="C60" i="6"/>
  <c r="D60" i="6"/>
  <c r="K135" i="3"/>
  <c r="C61" i="6"/>
  <c r="D61" i="6"/>
  <c r="K136" i="3"/>
  <c r="C62" i="6"/>
  <c r="D62" i="6"/>
  <c r="K137" i="3"/>
  <c r="C63" i="6"/>
  <c r="D63" i="6"/>
  <c r="K138" i="3"/>
  <c r="C64" i="6"/>
  <c r="D64" i="6"/>
  <c r="K139" i="3"/>
  <c r="C65" i="6"/>
  <c r="D65" i="6"/>
  <c r="K140" i="3"/>
  <c r="C66" i="6"/>
  <c r="D66" i="6"/>
  <c r="K141" i="3"/>
  <c r="C67" i="6"/>
  <c r="D67" i="6"/>
  <c r="K142" i="3"/>
  <c r="C68" i="6"/>
  <c r="D68" i="6"/>
  <c r="K143" i="3"/>
  <c r="C69" i="6"/>
  <c r="D69" i="6"/>
  <c r="K144" i="3"/>
  <c r="C70" i="6"/>
  <c r="D70" i="6"/>
  <c r="K145" i="3"/>
  <c r="C71" i="6"/>
  <c r="D71" i="6"/>
  <c r="K146" i="3"/>
  <c r="C72" i="6"/>
  <c r="D72" i="6"/>
  <c r="K147" i="3"/>
  <c r="C73" i="6"/>
  <c r="D73" i="6"/>
  <c r="K148" i="3"/>
  <c r="C74" i="6"/>
  <c r="D74" i="6"/>
  <c r="K149" i="3"/>
  <c r="C75" i="6"/>
  <c r="D75" i="6"/>
  <c r="K150" i="3"/>
  <c r="C76" i="6"/>
  <c r="D76" i="6"/>
  <c r="K151" i="3"/>
  <c r="C77" i="6"/>
  <c r="D77" i="6"/>
  <c r="K152" i="3"/>
  <c r="C78" i="6"/>
  <c r="D78" i="6"/>
  <c r="K153" i="3"/>
  <c r="C79" i="6"/>
  <c r="D79" i="6"/>
  <c r="K154" i="3"/>
  <c r="C80" i="6"/>
  <c r="D80" i="6"/>
  <c r="K155" i="3"/>
  <c r="C81" i="6"/>
  <c r="D81" i="6"/>
  <c r="K156" i="3"/>
  <c r="C82" i="6"/>
  <c r="D82" i="6"/>
  <c r="K157" i="3"/>
  <c r="C83" i="6"/>
  <c r="D83" i="6"/>
  <c r="K158" i="3"/>
  <c r="C84" i="6"/>
  <c r="D84" i="6"/>
  <c r="K159" i="3"/>
  <c r="C85" i="6"/>
  <c r="D85" i="6"/>
  <c r="K160" i="3"/>
  <c r="C86" i="6"/>
  <c r="D86" i="6"/>
  <c r="K161" i="3"/>
  <c r="C87" i="6"/>
  <c r="D87" i="6"/>
  <c r="K162" i="3"/>
  <c r="C88" i="6"/>
  <c r="D88" i="6"/>
  <c r="K163" i="3"/>
  <c r="C89" i="6"/>
  <c r="D89" i="6"/>
  <c r="K164" i="3"/>
  <c r="C90" i="6"/>
  <c r="D90" i="6"/>
  <c r="K165" i="3"/>
  <c r="C91" i="6"/>
  <c r="D91" i="6"/>
  <c r="K166" i="3"/>
  <c r="C92" i="6"/>
  <c r="D92" i="6"/>
  <c r="K167" i="3"/>
  <c r="C93" i="6"/>
  <c r="D93" i="6"/>
  <c r="K168" i="3"/>
  <c r="C94" i="6"/>
  <c r="D94" i="6"/>
  <c r="K169" i="3"/>
  <c r="C95" i="6"/>
  <c r="D95" i="6"/>
  <c r="K170" i="3"/>
  <c r="C96" i="6"/>
  <c r="D96" i="6"/>
  <c r="K171" i="3"/>
  <c r="C97" i="6"/>
  <c r="D97" i="6"/>
  <c r="K172" i="3"/>
  <c r="C98" i="6"/>
  <c r="D98" i="6"/>
  <c r="K173" i="3"/>
  <c r="C99" i="6"/>
  <c r="D99" i="6"/>
  <c r="K174" i="3"/>
  <c r="C100" i="6"/>
  <c r="D100" i="6"/>
  <c r="K175" i="3"/>
  <c r="C101" i="6"/>
  <c r="D101" i="6"/>
  <c r="K176" i="3"/>
  <c r="C102" i="6"/>
  <c r="D102" i="6"/>
  <c r="K177" i="3"/>
  <c r="C103" i="6"/>
  <c r="D103" i="6"/>
  <c r="K178" i="3"/>
  <c r="C104" i="6"/>
  <c r="D104" i="6"/>
  <c r="K179" i="3"/>
  <c r="C105" i="6"/>
  <c r="D105" i="6"/>
  <c r="K180" i="3"/>
  <c r="C106" i="6"/>
  <c r="D106" i="6"/>
  <c r="K181" i="3"/>
  <c r="C107" i="6"/>
  <c r="D107" i="6"/>
  <c r="K182" i="3"/>
  <c r="C108" i="6"/>
  <c r="D108" i="6"/>
  <c r="K183" i="3"/>
  <c r="C109" i="6"/>
  <c r="D109" i="6"/>
  <c r="K184" i="3"/>
  <c r="C110" i="6"/>
  <c r="D110" i="6"/>
  <c r="K185" i="3"/>
  <c r="C111" i="6"/>
  <c r="D111" i="6"/>
  <c r="K186" i="3"/>
  <c r="C112" i="6"/>
  <c r="D112" i="6"/>
  <c r="K187" i="3"/>
  <c r="C113" i="6"/>
  <c r="D113" i="6"/>
  <c r="K188" i="3"/>
  <c r="C114" i="6"/>
  <c r="D114" i="6"/>
  <c r="K189" i="3"/>
  <c r="C115" i="6"/>
  <c r="D115" i="6"/>
  <c r="K190" i="3"/>
  <c r="C116" i="6"/>
  <c r="D116" i="6"/>
  <c r="K191" i="3"/>
  <c r="C117" i="6"/>
  <c r="D117" i="6"/>
  <c r="K192" i="3"/>
  <c r="C118" i="6"/>
  <c r="D118" i="6"/>
  <c r="K193" i="3"/>
  <c r="C119" i="6"/>
  <c r="D119" i="6"/>
  <c r="K194" i="3"/>
  <c r="C120" i="6"/>
  <c r="D120" i="6"/>
  <c r="K195" i="3"/>
  <c r="C121" i="6"/>
  <c r="D121" i="6"/>
  <c r="K196" i="3"/>
  <c r="C122" i="6"/>
  <c r="D122" i="6"/>
  <c r="K197" i="3"/>
  <c r="C123" i="6"/>
  <c r="D123" i="6"/>
  <c r="K198" i="3"/>
  <c r="C124" i="6"/>
  <c r="D124" i="6"/>
  <c r="K199" i="3"/>
  <c r="C125" i="6"/>
  <c r="D125" i="6"/>
  <c r="K200" i="3"/>
  <c r="C126" i="6"/>
  <c r="D126" i="6"/>
  <c r="K201" i="3"/>
  <c r="C127" i="6"/>
  <c r="D127" i="6"/>
  <c r="K202" i="3"/>
  <c r="C128" i="6"/>
  <c r="D128" i="6"/>
  <c r="K203" i="3"/>
  <c r="C129" i="6"/>
  <c r="D129" i="6"/>
  <c r="K204" i="3"/>
  <c r="C130" i="6"/>
  <c r="D130" i="6"/>
  <c r="K205" i="3"/>
  <c r="C131" i="6"/>
  <c r="D131" i="6"/>
  <c r="K206" i="3"/>
  <c r="C132" i="6"/>
  <c r="D132" i="6"/>
  <c r="K207" i="3"/>
  <c r="O1246" i="3"/>
  <c r="M1248" i="3"/>
  <c r="O1247" i="3"/>
  <c r="M1249" i="3"/>
  <c r="O1248" i="3"/>
  <c r="M1250" i="3"/>
  <c r="O1249" i="3"/>
  <c r="M1251" i="3"/>
  <c r="O1250" i="3"/>
  <c r="M1252" i="3"/>
  <c r="O1251" i="3"/>
  <c r="M1253" i="3"/>
  <c r="O1252" i="3"/>
  <c r="O1257" i="3"/>
  <c r="N1246" i="3"/>
  <c r="N1247" i="3"/>
  <c r="N1248" i="3"/>
  <c r="N1249" i="3"/>
  <c r="N1250" i="3"/>
  <c r="N1251" i="3"/>
  <c r="N1252" i="3"/>
  <c r="N1257" i="3"/>
  <c r="K1257" i="3"/>
  <c r="K1256" i="3"/>
  <c r="K1255" i="3"/>
  <c r="K1254" i="3"/>
  <c r="K1253" i="3"/>
  <c r="P1252" i="3"/>
  <c r="K1252" i="3"/>
  <c r="K1251" i="3"/>
  <c r="K1250" i="3"/>
  <c r="K1249" i="3"/>
  <c r="K1248" i="3"/>
  <c r="K1247" i="3"/>
  <c r="P1246" i="3"/>
  <c r="K1246" i="3"/>
  <c r="K1245" i="3"/>
  <c r="K1244" i="3"/>
  <c r="K1243" i="3"/>
  <c r="K1242" i="3"/>
  <c r="K1241" i="3"/>
  <c r="G5" i="17"/>
  <c r="F132" i="17"/>
  <c r="F131" i="17"/>
  <c r="F130" i="17"/>
  <c r="F129" i="17"/>
  <c r="F128" i="17"/>
  <c r="F127" i="17"/>
  <c r="F126" i="17"/>
  <c r="F125" i="17"/>
  <c r="F124" i="17"/>
  <c r="F123" i="17"/>
  <c r="F122" i="17"/>
  <c r="F121" i="17"/>
  <c r="F120" i="17"/>
  <c r="F119" i="17"/>
  <c r="F118" i="17"/>
  <c r="F117" i="17"/>
  <c r="F116" i="17"/>
  <c r="F115" i="17"/>
  <c r="F114" i="17"/>
  <c r="F113" i="17"/>
  <c r="F112" i="17"/>
  <c r="F111" i="17"/>
  <c r="F110" i="17"/>
  <c r="F109" i="17"/>
  <c r="F108" i="17"/>
  <c r="F107" i="17"/>
  <c r="F106" i="17"/>
  <c r="F105" i="17"/>
  <c r="F104" i="17"/>
  <c r="F103" i="17"/>
  <c r="F102" i="17"/>
  <c r="F101" i="17"/>
  <c r="F100" i="17"/>
  <c r="F99" i="17"/>
  <c r="F98" i="17"/>
  <c r="F97" i="17"/>
  <c r="F96" i="17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G44" i="17"/>
  <c r="F44" i="17"/>
  <c r="F43" i="17"/>
  <c r="F42" i="17"/>
  <c r="G41" i="17"/>
  <c r="F41" i="17"/>
  <c r="F40" i="17"/>
  <c r="F39" i="17"/>
  <c r="G38" i="17"/>
  <c r="F38" i="17"/>
  <c r="F37" i="17"/>
  <c r="F36" i="17"/>
  <c r="F33" i="17"/>
  <c r="F34" i="17"/>
  <c r="F35" i="17"/>
  <c r="G35" i="17"/>
  <c r="G30" i="17"/>
  <c r="D30" i="17"/>
  <c r="C17" i="17"/>
  <c r="C15" i="17"/>
  <c r="A14" i="17"/>
  <c r="J6" i="17"/>
  <c r="G6" i="17"/>
  <c r="J5" i="17"/>
  <c r="D10" i="13"/>
  <c r="F14" i="13"/>
  <c r="B1154" i="3"/>
  <c r="F15" i="13"/>
  <c r="B1155" i="3"/>
  <c r="B1151" i="3"/>
  <c r="B1150" i="3"/>
  <c r="B1156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86" i="3"/>
  <c r="H1187" i="3"/>
  <c r="H1188" i="3"/>
  <c r="H1189" i="3"/>
  <c r="H1190" i="3"/>
  <c r="H1191" i="3"/>
  <c r="H1192" i="3"/>
  <c r="H1193" i="3"/>
  <c r="H1194" i="3"/>
  <c r="H1195" i="3"/>
  <c r="H1196" i="3"/>
  <c r="H1197" i="3"/>
  <c r="H1198" i="3"/>
  <c r="H1199" i="3"/>
  <c r="H1200" i="3"/>
  <c r="H1201" i="3"/>
  <c r="H1202" i="3"/>
  <c r="H1203" i="3"/>
  <c r="H1204" i="3"/>
  <c r="H1205" i="3"/>
  <c r="H1206" i="3"/>
  <c r="H1207" i="3"/>
  <c r="H1208" i="3"/>
  <c r="H1209" i="3"/>
  <c r="H1210" i="3"/>
  <c r="H1211" i="3"/>
  <c r="H1212" i="3"/>
  <c r="H1213" i="3"/>
  <c r="H1214" i="3"/>
  <c r="H1215" i="3"/>
  <c r="H1216" i="3"/>
  <c r="H1217" i="3"/>
  <c r="H1218" i="3"/>
  <c r="H1219" i="3"/>
  <c r="H1220" i="3"/>
  <c r="H1221" i="3"/>
  <c r="H1222" i="3"/>
  <c r="H1223" i="3"/>
  <c r="H1224" i="3"/>
  <c r="H1225" i="3"/>
  <c r="H1226" i="3"/>
  <c r="H1227" i="3"/>
  <c r="H1228" i="3"/>
  <c r="H1229" i="3"/>
  <c r="H1230" i="3"/>
  <c r="H1231" i="3"/>
  <c r="H1232" i="3"/>
  <c r="H1233" i="3"/>
  <c r="H1234" i="3"/>
  <c r="H1235" i="3"/>
  <c r="H1236" i="3"/>
  <c r="H1237" i="3"/>
  <c r="H1238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2" i="3"/>
  <c r="J1213" i="3"/>
  <c r="J1214" i="3"/>
  <c r="J1215" i="3"/>
  <c r="J1216" i="3"/>
  <c r="J1217" i="3"/>
  <c r="J1218" i="3"/>
  <c r="J1219" i="3"/>
  <c r="J1220" i="3"/>
  <c r="J1221" i="3"/>
  <c r="J1222" i="3"/>
  <c r="J1223" i="3"/>
  <c r="J1224" i="3"/>
  <c r="J1225" i="3"/>
  <c r="J1226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139" i="3"/>
  <c r="B1152" i="3"/>
  <c r="B1153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139" i="3"/>
  <c r="D5" i="13"/>
  <c r="B1144" i="3"/>
  <c r="D14" i="13"/>
  <c r="B1146" i="3"/>
  <c r="D6" i="13"/>
  <c r="B1145" i="3"/>
  <c r="D15" i="13"/>
  <c r="B1147" i="3"/>
  <c r="B1142" i="3"/>
  <c r="E1139" i="3"/>
  <c r="B1143" i="3"/>
  <c r="B1148" i="3"/>
  <c r="E1140" i="3"/>
  <c r="E1141" i="3"/>
  <c r="E1142" i="3"/>
  <c r="E1143" i="3"/>
  <c r="E1144" i="3"/>
  <c r="E1145" i="3"/>
  <c r="E1146" i="3"/>
  <c r="E1147" i="3"/>
  <c r="E1148" i="3"/>
  <c r="E1149" i="3"/>
  <c r="E1150" i="3"/>
  <c r="E1151" i="3"/>
  <c r="E1152" i="3"/>
  <c r="E1153" i="3"/>
  <c r="E1154" i="3"/>
  <c r="E1155" i="3"/>
  <c r="E1156" i="3"/>
  <c r="E1157" i="3"/>
  <c r="E1158" i="3"/>
  <c r="E1159" i="3"/>
  <c r="E1160" i="3"/>
  <c r="E1161" i="3"/>
  <c r="E1162" i="3"/>
  <c r="E1163" i="3"/>
  <c r="E1164" i="3"/>
  <c r="E1165" i="3"/>
  <c r="E1166" i="3"/>
  <c r="E1167" i="3"/>
  <c r="E1168" i="3"/>
  <c r="E1169" i="3"/>
  <c r="E1170" i="3"/>
  <c r="E1171" i="3"/>
  <c r="E1172" i="3"/>
  <c r="E1173" i="3"/>
  <c r="E1174" i="3"/>
  <c r="E1175" i="3"/>
  <c r="E1176" i="3"/>
  <c r="E1177" i="3"/>
  <c r="E1178" i="3"/>
  <c r="E1179" i="3"/>
  <c r="E1180" i="3"/>
  <c r="E1181" i="3"/>
  <c r="E1182" i="3"/>
  <c r="E1183" i="3"/>
  <c r="E1184" i="3"/>
  <c r="E1185" i="3"/>
  <c r="E1186" i="3"/>
  <c r="E1187" i="3"/>
  <c r="E1188" i="3"/>
  <c r="E1189" i="3"/>
  <c r="E1190" i="3"/>
  <c r="E1191" i="3"/>
  <c r="E1192" i="3"/>
  <c r="E1193" i="3"/>
  <c r="E1194" i="3"/>
  <c r="E1195" i="3"/>
  <c r="E1196" i="3"/>
  <c r="E1197" i="3"/>
  <c r="E1198" i="3"/>
  <c r="E1199" i="3"/>
  <c r="E1200" i="3"/>
  <c r="E1201" i="3"/>
  <c r="E1202" i="3"/>
  <c r="E1203" i="3"/>
  <c r="E1204" i="3"/>
  <c r="E1205" i="3"/>
  <c r="E1206" i="3"/>
  <c r="E1207" i="3"/>
  <c r="E1208" i="3"/>
  <c r="E1209" i="3"/>
  <c r="E1210" i="3"/>
  <c r="E1211" i="3"/>
  <c r="E1212" i="3"/>
  <c r="E1213" i="3"/>
  <c r="E1214" i="3"/>
  <c r="E1215" i="3"/>
  <c r="E1216" i="3"/>
  <c r="E1217" i="3"/>
  <c r="E1218" i="3"/>
  <c r="E1219" i="3"/>
  <c r="E1220" i="3"/>
  <c r="E1221" i="3"/>
  <c r="E1222" i="3"/>
  <c r="E1223" i="3"/>
  <c r="E1224" i="3"/>
  <c r="E1225" i="3"/>
  <c r="E1226" i="3"/>
  <c r="E1227" i="3"/>
  <c r="E1228" i="3"/>
  <c r="E1229" i="3"/>
  <c r="E1230" i="3"/>
  <c r="E1231" i="3"/>
  <c r="E1232" i="3"/>
  <c r="E1233" i="3"/>
  <c r="E1234" i="3"/>
  <c r="E1235" i="3"/>
  <c r="E1236" i="3"/>
  <c r="E1237" i="3"/>
  <c r="E1238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139" i="3"/>
  <c r="F17" i="12"/>
  <c r="B1050" i="3"/>
  <c r="F18" i="12"/>
  <c r="B1051" i="3"/>
  <c r="B1046" i="3"/>
  <c r="D5" i="12"/>
  <c r="D17" i="12"/>
  <c r="B1042" i="3"/>
  <c r="B1040" i="3"/>
  <c r="D6" i="12"/>
  <c r="B1041" i="3"/>
  <c r="D18" i="12"/>
  <c r="B1043" i="3"/>
  <c r="B1039" i="3"/>
  <c r="B1047" i="3"/>
  <c r="H17" i="12"/>
  <c r="B1058" i="3"/>
  <c r="B1056" i="3"/>
  <c r="D10" i="12"/>
  <c r="B1057" i="3"/>
  <c r="H18" i="12"/>
  <c r="B1059" i="3"/>
  <c r="B1055" i="3"/>
  <c r="B1054" i="3"/>
  <c r="B1038" i="3"/>
  <c r="B1049" i="3"/>
  <c r="B1048" i="3"/>
  <c r="B1060" i="3"/>
  <c r="K1035" i="3"/>
  <c r="K1036" i="3"/>
  <c r="M1036" i="3"/>
  <c r="K1037" i="3"/>
  <c r="M1037" i="3"/>
  <c r="K1038" i="3"/>
  <c r="M1038" i="3"/>
  <c r="K1039" i="3"/>
  <c r="M1039" i="3"/>
  <c r="K1040" i="3"/>
  <c r="M1040" i="3"/>
  <c r="K1041" i="3"/>
  <c r="M1041" i="3"/>
  <c r="K1042" i="3"/>
  <c r="M1042" i="3"/>
  <c r="K1043" i="3"/>
  <c r="M1043" i="3"/>
  <c r="K1044" i="3"/>
  <c r="M1044" i="3"/>
  <c r="K1045" i="3"/>
  <c r="M1045" i="3"/>
  <c r="K1046" i="3"/>
  <c r="M1046" i="3"/>
  <c r="K1047" i="3"/>
  <c r="M1047" i="3"/>
  <c r="K1048" i="3"/>
  <c r="M1048" i="3"/>
  <c r="K1049" i="3"/>
  <c r="M1049" i="3"/>
  <c r="K1050" i="3"/>
  <c r="M1050" i="3"/>
  <c r="K1051" i="3"/>
  <c r="M1051" i="3"/>
  <c r="K1052" i="3"/>
  <c r="M1052" i="3"/>
  <c r="K1053" i="3"/>
  <c r="M1053" i="3"/>
  <c r="K1054" i="3"/>
  <c r="M1054" i="3"/>
  <c r="K1055" i="3"/>
  <c r="M1055" i="3"/>
  <c r="K1056" i="3"/>
  <c r="M1056" i="3"/>
  <c r="K1057" i="3"/>
  <c r="M1057" i="3"/>
  <c r="K1058" i="3"/>
  <c r="M1058" i="3"/>
  <c r="K1059" i="3"/>
  <c r="M1059" i="3"/>
  <c r="K1060" i="3"/>
  <c r="M1060" i="3"/>
  <c r="K1061" i="3"/>
  <c r="M1061" i="3"/>
  <c r="K1062" i="3"/>
  <c r="M1062" i="3"/>
  <c r="K1063" i="3"/>
  <c r="M1063" i="3"/>
  <c r="K1064" i="3"/>
  <c r="M1064" i="3"/>
  <c r="K1065" i="3"/>
  <c r="M1065" i="3"/>
  <c r="K1066" i="3"/>
  <c r="M1066" i="3"/>
  <c r="K1067" i="3"/>
  <c r="M1067" i="3"/>
  <c r="K1068" i="3"/>
  <c r="M1068" i="3"/>
  <c r="K1069" i="3"/>
  <c r="M1069" i="3"/>
  <c r="K1070" i="3"/>
  <c r="M1070" i="3"/>
  <c r="K1071" i="3"/>
  <c r="M1071" i="3"/>
  <c r="K1072" i="3"/>
  <c r="M1072" i="3"/>
  <c r="K1073" i="3"/>
  <c r="M1073" i="3"/>
  <c r="K1074" i="3"/>
  <c r="M1074" i="3"/>
  <c r="K1075" i="3"/>
  <c r="M1075" i="3"/>
  <c r="K1076" i="3"/>
  <c r="M1076" i="3"/>
  <c r="K1077" i="3"/>
  <c r="M1077" i="3"/>
  <c r="K1078" i="3"/>
  <c r="M1078" i="3"/>
  <c r="K1079" i="3"/>
  <c r="M1079" i="3"/>
  <c r="K1080" i="3"/>
  <c r="M1080" i="3"/>
  <c r="K1081" i="3"/>
  <c r="M1081" i="3"/>
  <c r="K1082" i="3"/>
  <c r="M1082" i="3"/>
  <c r="K1083" i="3"/>
  <c r="M1083" i="3"/>
  <c r="K1084" i="3"/>
  <c r="M1084" i="3"/>
  <c r="K1085" i="3"/>
  <c r="M1085" i="3"/>
  <c r="K1086" i="3"/>
  <c r="M1086" i="3"/>
  <c r="K1087" i="3"/>
  <c r="M1087" i="3"/>
  <c r="K1088" i="3"/>
  <c r="M1088" i="3"/>
  <c r="K1089" i="3"/>
  <c r="M1089" i="3"/>
  <c r="K1090" i="3"/>
  <c r="M1090" i="3"/>
  <c r="K1091" i="3"/>
  <c r="M1091" i="3"/>
  <c r="K1092" i="3"/>
  <c r="M1092" i="3"/>
  <c r="K1093" i="3"/>
  <c r="M1093" i="3"/>
  <c r="K1094" i="3"/>
  <c r="M1094" i="3"/>
  <c r="K1095" i="3"/>
  <c r="M1095" i="3"/>
  <c r="K1096" i="3"/>
  <c r="M1096" i="3"/>
  <c r="K1097" i="3"/>
  <c r="M1097" i="3"/>
  <c r="K1098" i="3"/>
  <c r="M1098" i="3"/>
  <c r="K1099" i="3"/>
  <c r="M1099" i="3"/>
  <c r="K1100" i="3"/>
  <c r="M1100" i="3"/>
  <c r="K1101" i="3"/>
  <c r="M1101" i="3"/>
  <c r="K1102" i="3"/>
  <c r="M1102" i="3"/>
  <c r="K1103" i="3"/>
  <c r="M1103" i="3"/>
  <c r="K1104" i="3"/>
  <c r="M1104" i="3"/>
  <c r="K1105" i="3"/>
  <c r="M1105" i="3"/>
  <c r="K1106" i="3"/>
  <c r="M1106" i="3"/>
  <c r="K1107" i="3"/>
  <c r="M1107" i="3"/>
  <c r="K1108" i="3"/>
  <c r="M1108" i="3"/>
  <c r="K1109" i="3"/>
  <c r="M1109" i="3"/>
  <c r="K1110" i="3"/>
  <c r="M1110" i="3"/>
  <c r="K1111" i="3"/>
  <c r="M1111" i="3"/>
  <c r="K1112" i="3"/>
  <c r="M1112" i="3"/>
  <c r="K1113" i="3"/>
  <c r="M1113" i="3"/>
  <c r="K1114" i="3"/>
  <c r="M1114" i="3"/>
  <c r="K1115" i="3"/>
  <c r="M1115" i="3"/>
  <c r="K1116" i="3"/>
  <c r="M1116" i="3"/>
  <c r="K1117" i="3"/>
  <c r="M1117" i="3"/>
  <c r="K1118" i="3"/>
  <c r="M1118" i="3"/>
  <c r="K1119" i="3"/>
  <c r="M1119" i="3"/>
  <c r="K1120" i="3"/>
  <c r="M1120" i="3"/>
  <c r="K1121" i="3"/>
  <c r="M1121" i="3"/>
  <c r="K1122" i="3"/>
  <c r="M1122" i="3"/>
  <c r="K1123" i="3"/>
  <c r="M1123" i="3"/>
  <c r="K1124" i="3"/>
  <c r="M1124" i="3"/>
  <c r="K1125" i="3"/>
  <c r="M1125" i="3"/>
  <c r="K1126" i="3"/>
  <c r="M1126" i="3"/>
  <c r="K1127" i="3"/>
  <c r="M1127" i="3"/>
  <c r="K1128" i="3"/>
  <c r="M1128" i="3"/>
  <c r="K1129" i="3"/>
  <c r="M1129" i="3"/>
  <c r="K1130" i="3"/>
  <c r="M1130" i="3"/>
  <c r="K1131" i="3"/>
  <c r="M1131" i="3"/>
  <c r="K1132" i="3"/>
  <c r="M1132" i="3"/>
  <c r="K1133" i="3"/>
  <c r="M1133" i="3"/>
  <c r="K1134" i="3"/>
  <c r="M1134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M1035" i="3"/>
  <c r="L1035" i="3"/>
  <c r="H1035" i="3"/>
  <c r="B1052" i="3"/>
  <c r="H1036" i="3"/>
  <c r="J1036" i="3"/>
  <c r="H1037" i="3"/>
  <c r="J1037" i="3"/>
  <c r="H1038" i="3"/>
  <c r="J1038" i="3"/>
  <c r="H1039" i="3"/>
  <c r="J1039" i="3"/>
  <c r="H1040" i="3"/>
  <c r="J1040" i="3"/>
  <c r="H1041" i="3"/>
  <c r="J1041" i="3"/>
  <c r="H1042" i="3"/>
  <c r="J1042" i="3"/>
  <c r="H1043" i="3"/>
  <c r="J1043" i="3"/>
  <c r="H1044" i="3"/>
  <c r="J1044" i="3"/>
  <c r="H1045" i="3"/>
  <c r="J1045" i="3"/>
  <c r="H1046" i="3"/>
  <c r="J1046" i="3"/>
  <c r="H1047" i="3"/>
  <c r="J1047" i="3"/>
  <c r="H1048" i="3"/>
  <c r="J1048" i="3"/>
  <c r="H1049" i="3"/>
  <c r="J1049" i="3"/>
  <c r="H1050" i="3"/>
  <c r="J1050" i="3"/>
  <c r="H1051" i="3"/>
  <c r="J1051" i="3"/>
  <c r="H1052" i="3"/>
  <c r="J1052" i="3"/>
  <c r="H1053" i="3"/>
  <c r="J1053" i="3"/>
  <c r="H1054" i="3"/>
  <c r="J1054" i="3"/>
  <c r="H1055" i="3"/>
  <c r="J1055" i="3"/>
  <c r="H1056" i="3"/>
  <c r="J1056" i="3"/>
  <c r="H1057" i="3"/>
  <c r="J1057" i="3"/>
  <c r="H1058" i="3"/>
  <c r="J1058" i="3"/>
  <c r="H1059" i="3"/>
  <c r="J1059" i="3"/>
  <c r="H1060" i="3"/>
  <c r="J1060" i="3"/>
  <c r="H1061" i="3"/>
  <c r="J1061" i="3"/>
  <c r="H1062" i="3"/>
  <c r="J1062" i="3"/>
  <c r="H1063" i="3"/>
  <c r="J1063" i="3"/>
  <c r="H1064" i="3"/>
  <c r="J1064" i="3"/>
  <c r="H1065" i="3"/>
  <c r="J1065" i="3"/>
  <c r="H1066" i="3"/>
  <c r="J1066" i="3"/>
  <c r="H1067" i="3"/>
  <c r="J1067" i="3"/>
  <c r="H1068" i="3"/>
  <c r="J1068" i="3"/>
  <c r="H1069" i="3"/>
  <c r="J1069" i="3"/>
  <c r="H1070" i="3"/>
  <c r="J1070" i="3"/>
  <c r="H1071" i="3"/>
  <c r="J1071" i="3"/>
  <c r="H1072" i="3"/>
  <c r="J1072" i="3"/>
  <c r="H1073" i="3"/>
  <c r="J1073" i="3"/>
  <c r="H1074" i="3"/>
  <c r="J1074" i="3"/>
  <c r="H1075" i="3"/>
  <c r="J1075" i="3"/>
  <c r="H1076" i="3"/>
  <c r="J1076" i="3"/>
  <c r="H1077" i="3"/>
  <c r="J1077" i="3"/>
  <c r="H1078" i="3"/>
  <c r="J1078" i="3"/>
  <c r="H1079" i="3"/>
  <c r="J1079" i="3"/>
  <c r="H1080" i="3"/>
  <c r="J1080" i="3"/>
  <c r="H1081" i="3"/>
  <c r="J1081" i="3"/>
  <c r="H1082" i="3"/>
  <c r="J1082" i="3"/>
  <c r="H1083" i="3"/>
  <c r="J1083" i="3"/>
  <c r="H1084" i="3"/>
  <c r="J1084" i="3"/>
  <c r="H1085" i="3"/>
  <c r="J1085" i="3"/>
  <c r="H1086" i="3"/>
  <c r="J1086" i="3"/>
  <c r="H1087" i="3"/>
  <c r="J1087" i="3"/>
  <c r="H1088" i="3"/>
  <c r="J1088" i="3"/>
  <c r="H1089" i="3"/>
  <c r="J1089" i="3"/>
  <c r="H1090" i="3"/>
  <c r="J1090" i="3"/>
  <c r="H1091" i="3"/>
  <c r="J1091" i="3"/>
  <c r="H1092" i="3"/>
  <c r="J1092" i="3"/>
  <c r="H1093" i="3"/>
  <c r="J1093" i="3"/>
  <c r="H1094" i="3"/>
  <c r="J1094" i="3"/>
  <c r="H1095" i="3"/>
  <c r="J1095" i="3"/>
  <c r="H1096" i="3"/>
  <c r="J1096" i="3"/>
  <c r="H1097" i="3"/>
  <c r="J1097" i="3"/>
  <c r="H1098" i="3"/>
  <c r="J1098" i="3"/>
  <c r="H1099" i="3"/>
  <c r="J1099" i="3"/>
  <c r="H1100" i="3"/>
  <c r="J1100" i="3"/>
  <c r="H1101" i="3"/>
  <c r="J1101" i="3"/>
  <c r="H1102" i="3"/>
  <c r="J1102" i="3"/>
  <c r="H1103" i="3"/>
  <c r="J1103" i="3"/>
  <c r="H1104" i="3"/>
  <c r="J1104" i="3"/>
  <c r="H1105" i="3"/>
  <c r="J1105" i="3"/>
  <c r="H1106" i="3"/>
  <c r="J1106" i="3"/>
  <c r="H1107" i="3"/>
  <c r="J1107" i="3"/>
  <c r="H1108" i="3"/>
  <c r="J1108" i="3"/>
  <c r="H1109" i="3"/>
  <c r="J1109" i="3"/>
  <c r="H1110" i="3"/>
  <c r="J1110" i="3"/>
  <c r="H1111" i="3"/>
  <c r="J1111" i="3"/>
  <c r="H1112" i="3"/>
  <c r="J1112" i="3"/>
  <c r="H1113" i="3"/>
  <c r="J1113" i="3"/>
  <c r="H1114" i="3"/>
  <c r="J1114" i="3"/>
  <c r="H1115" i="3"/>
  <c r="J1115" i="3"/>
  <c r="H1116" i="3"/>
  <c r="J1116" i="3"/>
  <c r="H1117" i="3"/>
  <c r="J1117" i="3"/>
  <c r="H1118" i="3"/>
  <c r="J1118" i="3"/>
  <c r="H1119" i="3"/>
  <c r="J1119" i="3"/>
  <c r="H1120" i="3"/>
  <c r="J1120" i="3"/>
  <c r="H1121" i="3"/>
  <c r="J1121" i="3"/>
  <c r="H1122" i="3"/>
  <c r="J1122" i="3"/>
  <c r="H1123" i="3"/>
  <c r="J1123" i="3"/>
  <c r="H1124" i="3"/>
  <c r="J1124" i="3"/>
  <c r="H1125" i="3"/>
  <c r="J1125" i="3"/>
  <c r="H1126" i="3"/>
  <c r="J1126" i="3"/>
  <c r="H1127" i="3"/>
  <c r="J1127" i="3"/>
  <c r="H1128" i="3"/>
  <c r="J1128" i="3"/>
  <c r="H1129" i="3"/>
  <c r="J1129" i="3"/>
  <c r="H1130" i="3"/>
  <c r="J1130" i="3"/>
  <c r="H1131" i="3"/>
  <c r="J1131" i="3"/>
  <c r="H1132" i="3"/>
  <c r="J1132" i="3"/>
  <c r="H1133" i="3"/>
  <c r="J1133" i="3"/>
  <c r="H1134" i="3"/>
  <c r="J1134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J1035" i="3"/>
  <c r="I1035" i="3"/>
  <c r="E1035" i="3"/>
  <c r="B1044" i="3"/>
  <c r="E1036" i="3"/>
  <c r="G1036" i="3"/>
  <c r="E1037" i="3"/>
  <c r="G1037" i="3"/>
  <c r="E1038" i="3"/>
  <c r="G1038" i="3"/>
  <c r="E1039" i="3"/>
  <c r="G1039" i="3"/>
  <c r="E1040" i="3"/>
  <c r="G1040" i="3"/>
  <c r="E1041" i="3"/>
  <c r="G1041" i="3"/>
  <c r="E1042" i="3"/>
  <c r="G1042" i="3"/>
  <c r="E1043" i="3"/>
  <c r="G1043" i="3"/>
  <c r="E1044" i="3"/>
  <c r="G1044" i="3"/>
  <c r="E1045" i="3"/>
  <c r="G1045" i="3"/>
  <c r="E1046" i="3"/>
  <c r="G1046" i="3"/>
  <c r="E1047" i="3"/>
  <c r="G1047" i="3"/>
  <c r="E1048" i="3"/>
  <c r="G1048" i="3"/>
  <c r="E1049" i="3"/>
  <c r="G1049" i="3"/>
  <c r="E1050" i="3"/>
  <c r="G1050" i="3"/>
  <c r="E1051" i="3"/>
  <c r="G1051" i="3"/>
  <c r="E1052" i="3"/>
  <c r="G1052" i="3"/>
  <c r="E1053" i="3"/>
  <c r="G1053" i="3"/>
  <c r="E1054" i="3"/>
  <c r="G1054" i="3"/>
  <c r="E1055" i="3"/>
  <c r="G1055" i="3"/>
  <c r="E1056" i="3"/>
  <c r="G1056" i="3"/>
  <c r="E1057" i="3"/>
  <c r="G1057" i="3"/>
  <c r="E1058" i="3"/>
  <c r="G1058" i="3"/>
  <c r="E1059" i="3"/>
  <c r="G1059" i="3"/>
  <c r="E1060" i="3"/>
  <c r="G1060" i="3"/>
  <c r="E1061" i="3"/>
  <c r="G1061" i="3"/>
  <c r="E1062" i="3"/>
  <c r="G1062" i="3"/>
  <c r="E1063" i="3"/>
  <c r="G1063" i="3"/>
  <c r="E1064" i="3"/>
  <c r="G1064" i="3"/>
  <c r="E1065" i="3"/>
  <c r="G1065" i="3"/>
  <c r="E1066" i="3"/>
  <c r="G1066" i="3"/>
  <c r="E1067" i="3"/>
  <c r="G1067" i="3"/>
  <c r="E1068" i="3"/>
  <c r="G1068" i="3"/>
  <c r="E1069" i="3"/>
  <c r="G1069" i="3"/>
  <c r="E1070" i="3"/>
  <c r="G1070" i="3"/>
  <c r="E1071" i="3"/>
  <c r="G1071" i="3"/>
  <c r="E1072" i="3"/>
  <c r="G1072" i="3"/>
  <c r="E1073" i="3"/>
  <c r="G1073" i="3"/>
  <c r="E1074" i="3"/>
  <c r="G1074" i="3"/>
  <c r="E1075" i="3"/>
  <c r="G1075" i="3"/>
  <c r="E1076" i="3"/>
  <c r="G1076" i="3"/>
  <c r="E1077" i="3"/>
  <c r="G1077" i="3"/>
  <c r="E1078" i="3"/>
  <c r="G1078" i="3"/>
  <c r="E1079" i="3"/>
  <c r="G1079" i="3"/>
  <c r="E1080" i="3"/>
  <c r="G1080" i="3"/>
  <c r="E1081" i="3"/>
  <c r="G1081" i="3"/>
  <c r="E1082" i="3"/>
  <c r="G1082" i="3"/>
  <c r="E1083" i="3"/>
  <c r="G1083" i="3"/>
  <c r="E1084" i="3"/>
  <c r="G1084" i="3"/>
  <c r="E1085" i="3"/>
  <c r="G1085" i="3"/>
  <c r="E1086" i="3"/>
  <c r="G1086" i="3"/>
  <c r="E1087" i="3"/>
  <c r="G1087" i="3"/>
  <c r="E1088" i="3"/>
  <c r="G1088" i="3"/>
  <c r="E1089" i="3"/>
  <c r="G1089" i="3"/>
  <c r="E1090" i="3"/>
  <c r="G1090" i="3"/>
  <c r="E1091" i="3"/>
  <c r="G1091" i="3"/>
  <c r="E1092" i="3"/>
  <c r="G1092" i="3"/>
  <c r="E1093" i="3"/>
  <c r="G1093" i="3"/>
  <c r="E1094" i="3"/>
  <c r="G1094" i="3"/>
  <c r="E1095" i="3"/>
  <c r="G1095" i="3"/>
  <c r="E1096" i="3"/>
  <c r="G1096" i="3"/>
  <c r="E1097" i="3"/>
  <c r="G1097" i="3"/>
  <c r="E1098" i="3"/>
  <c r="G1098" i="3"/>
  <c r="E1099" i="3"/>
  <c r="G1099" i="3"/>
  <c r="E1100" i="3"/>
  <c r="G1100" i="3"/>
  <c r="E1101" i="3"/>
  <c r="G1101" i="3"/>
  <c r="E1102" i="3"/>
  <c r="G1102" i="3"/>
  <c r="E1103" i="3"/>
  <c r="G1103" i="3"/>
  <c r="E1104" i="3"/>
  <c r="G1104" i="3"/>
  <c r="E1105" i="3"/>
  <c r="G1105" i="3"/>
  <c r="E1106" i="3"/>
  <c r="G1106" i="3"/>
  <c r="E1107" i="3"/>
  <c r="G1107" i="3"/>
  <c r="E1108" i="3"/>
  <c r="G1108" i="3"/>
  <c r="E1109" i="3"/>
  <c r="G1109" i="3"/>
  <c r="E1110" i="3"/>
  <c r="G1110" i="3"/>
  <c r="E1111" i="3"/>
  <c r="G1111" i="3"/>
  <c r="E1112" i="3"/>
  <c r="G1112" i="3"/>
  <c r="E1113" i="3"/>
  <c r="G1113" i="3"/>
  <c r="E1114" i="3"/>
  <c r="G1114" i="3"/>
  <c r="E1115" i="3"/>
  <c r="G1115" i="3"/>
  <c r="E1116" i="3"/>
  <c r="G1116" i="3"/>
  <c r="E1117" i="3"/>
  <c r="G1117" i="3"/>
  <c r="E1118" i="3"/>
  <c r="G1118" i="3"/>
  <c r="E1119" i="3"/>
  <c r="G1119" i="3"/>
  <c r="E1120" i="3"/>
  <c r="G1120" i="3"/>
  <c r="E1121" i="3"/>
  <c r="G1121" i="3"/>
  <c r="E1122" i="3"/>
  <c r="G1122" i="3"/>
  <c r="E1123" i="3"/>
  <c r="G1123" i="3"/>
  <c r="E1124" i="3"/>
  <c r="G1124" i="3"/>
  <c r="E1125" i="3"/>
  <c r="G1125" i="3"/>
  <c r="E1126" i="3"/>
  <c r="G1126" i="3"/>
  <c r="E1127" i="3"/>
  <c r="G1127" i="3"/>
  <c r="E1128" i="3"/>
  <c r="G1128" i="3"/>
  <c r="E1129" i="3"/>
  <c r="G1129" i="3"/>
  <c r="E1130" i="3"/>
  <c r="G1130" i="3"/>
  <c r="E1131" i="3"/>
  <c r="G1131" i="3"/>
  <c r="E1132" i="3"/>
  <c r="G1132" i="3"/>
  <c r="E1133" i="3"/>
  <c r="G1133" i="3"/>
  <c r="E1134" i="3"/>
  <c r="G1134" i="3"/>
  <c r="G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035" i="3"/>
  <c r="D5" i="11"/>
  <c r="B936" i="3"/>
  <c r="D6" i="11"/>
  <c r="B937" i="3"/>
  <c r="D17" i="11"/>
  <c r="B938" i="3"/>
  <c r="D18" i="11"/>
  <c r="B939" i="3"/>
  <c r="B934" i="3"/>
  <c r="E931" i="3"/>
  <c r="F931" i="3"/>
  <c r="G931" i="3"/>
  <c r="F17" i="11"/>
  <c r="B946" i="3"/>
  <c r="F18" i="11"/>
  <c r="B947" i="3"/>
  <c r="B942" i="3"/>
  <c r="H931" i="3"/>
  <c r="B944" i="3"/>
  <c r="B945" i="3"/>
  <c r="I931" i="3"/>
  <c r="J931" i="3"/>
  <c r="H17" i="11"/>
  <c r="B954" i="3"/>
  <c r="D10" i="11"/>
  <c r="H18" i="11"/>
  <c r="B955" i="3"/>
  <c r="B950" i="3"/>
  <c r="K931" i="3"/>
  <c r="B952" i="3"/>
  <c r="B953" i="3"/>
  <c r="L931" i="3"/>
  <c r="M931" i="3"/>
  <c r="B951" i="3"/>
  <c r="B956" i="3"/>
  <c r="B943" i="3"/>
  <c r="B948" i="3"/>
  <c r="B935" i="3"/>
  <c r="B940" i="3"/>
  <c r="K932" i="3"/>
  <c r="M932" i="3"/>
  <c r="K933" i="3"/>
  <c r="M933" i="3"/>
  <c r="K934" i="3"/>
  <c r="M934" i="3"/>
  <c r="K935" i="3"/>
  <c r="M935" i="3"/>
  <c r="K936" i="3"/>
  <c r="M936" i="3"/>
  <c r="K937" i="3"/>
  <c r="M937" i="3"/>
  <c r="K938" i="3"/>
  <c r="M938" i="3"/>
  <c r="K939" i="3"/>
  <c r="M939" i="3"/>
  <c r="K940" i="3"/>
  <c r="M940" i="3"/>
  <c r="K941" i="3"/>
  <c r="M941" i="3"/>
  <c r="K942" i="3"/>
  <c r="M942" i="3"/>
  <c r="K943" i="3"/>
  <c r="M943" i="3"/>
  <c r="K944" i="3"/>
  <c r="M944" i="3"/>
  <c r="K945" i="3"/>
  <c r="M945" i="3"/>
  <c r="K946" i="3"/>
  <c r="M946" i="3"/>
  <c r="K947" i="3"/>
  <c r="M947" i="3"/>
  <c r="K948" i="3"/>
  <c r="M948" i="3"/>
  <c r="K949" i="3"/>
  <c r="M949" i="3"/>
  <c r="K950" i="3"/>
  <c r="M950" i="3"/>
  <c r="K951" i="3"/>
  <c r="M951" i="3"/>
  <c r="K952" i="3"/>
  <c r="M952" i="3"/>
  <c r="K953" i="3"/>
  <c r="M953" i="3"/>
  <c r="K954" i="3"/>
  <c r="M954" i="3"/>
  <c r="K955" i="3"/>
  <c r="M955" i="3"/>
  <c r="K956" i="3"/>
  <c r="M956" i="3"/>
  <c r="K957" i="3"/>
  <c r="M957" i="3"/>
  <c r="K958" i="3"/>
  <c r="M958" i="3"/>
  <c r="K959" i="3"/>
  <c r="M959" i="3"/>
  <c r="K960" i="3"/>
  <c r="M960" i="3"/>
  <c r="K961" i="3"/>
  <c r="M961" i="3"/>
  <c r="K962" i="3"/>
  <c r="M962" i="3"/>
  <c r="K963" i="3"/>
  <c r="M963" i="3"/>
  <c r="K964" i="3"/>
  <c r="M964" i="3"/>
  <c r="K965" i="3"/>
  <c r="M965" i="3"/>
  <c r="K966" i="3"/>
  <c r="M966" i="3"/>
  <c r="K967" i="3"/>
  <c r="M967" i="3"/>
  <c r="K968" i="3"/>
  <c r="M968" i="3"/>
  <c r="K969" i="3"/>
  <c r="M969" i="3"/>
  <c r="K970" i="3"/>
  <c r="M970" i="3"/>
  <c r="K971" i="3"/>
  <c r="M971" i="3"/>
  <c r="K972" i="3"/>
  <c r="M972" i="3"/>
  <c r="K973" i="3"/>
  <c r="M973" i="3"/>
  <c r="K974" i="3"/>
  <c r="M974" i="3"/>
  <c r="K975" i="3"/>
  <c r="M975" i="3"/>
  <c r="K976" i="3"/>
  <c r="M976" i="3"/>
  <c r="K977" i="3"/>
  <c r="M977" i="3"/>
  <c r="K978" i="3"/>
  <c r="M978" i="3"/>
  <c r="K979" i="3"/>
  <c r="M979" i="3"/>
  <c r="K980" i="3"/>
  <c r="M980" i="3"/>
  <c r="K981" i="3"/>
  <c r="M981" i="3"/>
  <c r="K982" i="3"/>
  <c r="M982" i="3"/>
  <c r="K983" i="3"/>
  <c r="M983" i="3"/>
  <c r="K984" i="3"/>
  <c r="M984" i="3"/>
  <c r="K985" i="3"/>
  <c r="M985" i="3"/>
  <c r="K986" i="3"/>
  <c r="M986" i="3"/>
  <c r="K987" i="3"/>
  <c r="M987" i="3"/>
  <c r="K988" i="3"/>
  <c r="M988" i="3"/>
  <c r="K989" i="3"/>
  <c r="M989" i="3"/>
  <c r="K990" i="3"/>
  <c r="M990" i="3"/>
  <c r="K991" i="3"/>
  <c r="M991" i="3"/>
  <c r="K992" i="3"/>
  <c r="M992" i="3"/>
  <c r="K993" i="3"/>
  <c r="M993" i="3"/>
  <c r="K994" i="3"/>
  <c r="M994" i="3"/>
  <c r="K995" i="3"/>
  <c r="M995" i="3"/>
  <c r="K996" i="3"/>
  <c r="M996" i="3"/>
  <c r="K997" i="3"/>
  <c r="M997" i="3"/>
  <c r="K998" i="3"/>
  <c r="M998" i="3"/>
  <c r="K999" i="3"/>
  <c r="M999" i="3"/>
  <c r="K1000" i="3"/>
  <c r="M1000" i="3"/>
  <c r="K1001" i="3"/>
  <c r="M1001" i="3"/>
  <c r="K1002" i="3"/>
  <c r="M1002" i="3"/>
  <c r="K1003" i="3"/>
  <c r="M1003" i="3"/>
  <c r="K1004" i="3"/>
  <c r="M1004" i="3"/>
  <c r="K1005" i="3"/>
  <c r="M1005" i="3"/>
  <c r="K1006" i="3"/>
  <c r="M1006" i="3"/>
  <c r="K1007" i="3"/>
  <c r="M1007" i="3"/>
  <c r="K1008" i="3"/>
  <c r="M1008" i="3"/>
  <c r="K1009" i="3"/>
  <c r="M1009" i="3"/>
  <c r="K1010" i="3"/>
  <c r="M1010" i="3"/>
  <c r="K1011" i="3"/>
  <c r="M1011" i="3"/>
  <c r="K1012" i="3"/>
  <c r="M1012" i="3"/>
  <c r="K1013" i="3"/>
  <c r="M1013" i="3"/>
  <c r="K1014" i="3"/>
  <c r="M1014" i="3"/>
  <c r="K1015" i="3"/>
  <c r="M1015" i="3"/>
  <c r="K1016" i="3"/>
  <c r="M1016" i="3"/>
  <c r="K1017" i="3"/>
  <c r="M1017" i="3"/>
  <c r="K1018" i="3"/>
  <c r="M1018" i="3"/>
  <c r="K1019" i="3"/>
  <c r="M1019" i="3"/>
  <c r="K1020" i="3"/>
  <c r="M1020" i="3"/>
  <c r="K1021" i="3"/>
  <c r="M1021" i="3"/>
  <c r="K1022" i="3"/>
  <c r="M1022" i="3"/>
  <c r="K1023" i="3"/>
  <c r="M1023" i="3"/>
  <c r="K1024" i="3"/>
  <c r="M1024" i="3"/>
  <c r="K1025" i="3"/>
  <c r="M1025" i="3"/>
  <c r="K1026" i="3"/>
  <c r="M1026" i="3"/>
  <c r="K1027" i="3"/>
  <c r="M1027" i="3"/>
  <c r="K1028" i="3"/>
  <c r="M1028" i="3"/>
  <c r="K1029" i="3"/>
  <c r="M1029" i="3"/>
  <c r="K1030" i="3"/>
  <c r="M1030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H932" i="3"/>
  <c r="J932" i="3"/>
  <c r="H933" i="3"/>
  <c r="J933" i="3"/>
  <c r="H934" i="3"/>
  <c r="J934" i="3"/>
  <c r="H935" i="3"/>
  <c r="J935" i="3"/>
  <c r="H936" i="3"/>
  <c r="J936" i="3"/>
  <c r="H937" i="3"/>
  <c r="J937" i="3"/>
  <c r="H938" i="3"/>
  <c r="J938" i="3"/>
  <c r="H939" i="3"/>
  <c r="J939" i="3"/>
  <c r="H940" i="3"/>
  <c r="J940" i="3"/>
  <c r="H941" i="3"/>
  <c r="J941" i="3"/>
  <c r="H942" i="3"/>
  <c r="J942" i="3"/>
  <c r="H943" i="3"/>
  <c r="J943" i="3"/>
  <c r="H944" i="3"/>
  <c r="J944" i="3"/>
  <c r="H945" i="3"/>
  <c r="J945" i="3"/>
  <c r="H946" i="3"/>
  <c r="J946" i="3"/>
  <c r="H947" i="3"/>
  <c r="J947" i="3"/>
  <c r="H948" i="3"/>
  <c r="J948" i="3"/>
  <c r="H949" i="3"/>
  <c r="J949" i="3"/>
  <c r="H950" i="3"/>
  <c r="J950" i="3"/>
  <c r="H951" i="3"/>
  <c r="J951" i="3"/>
  <c r="H952" i="3"/>
  <c r="J952" i="3"/>
  <c r="H953" i="3"/>
  <c r="J953" i="3"/>
  <c r="H954" i="3"/>
  <c r="J954" i="3"/>
  <c r="H955" i="3"/>
  <c r="J955" i="3"/>
  <c r="H956" i="3"/>
  <c r="J956" i="3"/>
  <c r="H957" i="3"/>
  <c r="J957" i="3"/>
  <c r="H958" i="3"/>
  <c r="J958" i="3"/>
  <c r="H959" i="3"/>
  <c r="J959" i="3"/>
  <c r="H960" i="3"/>
  <c r="J960" i="3"/>
  <c r="H961" i="3"/>
  <c r="J961" i="3"/>
  <c r="H962" i="3"/>
  <c r="J962" i="3"/>
  <c r="H963" i="3"/>
  <c r="J963" i="3"/>
  <c r="H964" i="3"/>
  <c r="J964" i="3"/>
  <c r="H965" i="3"/>
  <c r="J965" i="3"/>
  <c r="H966" i="3"/>
  <c r="J966" i="3"/>
  <c r="H967" i="3"/>
  <c r="J967" i="3"/>
  <c r="H968" i="3"/>
  <c r="J968" i="3"/>
  <c r="H969" i="3"/>
  <c r="J969" i="3"/>
  <c r="H970" i="3"/>
  <c r="J970" i="3"/>
  <c r="H971" i="3"/>
  <c r="J971" i="3"/>
  <c r="H972" i="3"/>
  <c r="J972" i="3"/>
  <c r="H973" i="3"/>
  <c r="J973" i="3"/>
  <c r="H974" i="3"/>
  <c r="J974" i="3"/>
  <c r="H975" i="3"/>
  <c r="J975" i="3"/>
  <c r="H976" i="3"/>
  <c r="J976" i="3"/>
  <c r="H977" i="3"/>
  <c r="J977" i="3"/>
  <c r="H978" i="3"/>
  <c r="J978" i="3"/>
  <c r="H979" i="3"/>
  <c r="J979" i="3"/>
  <c r="H980" i="3"/>
  <c r="J980" i="3"/>
  <c r="H981" i="3"/>
  <c r="J981" i="3"/>
  <c r="H982" i="3"/>
  <c r="J982" i="3"/>
  <c r="H983" i="3"/>
  <c r="J983" i="3"/>
  <c r="H984" i="3"/>
  <c r="J984" i="3"/>
  <c r="H985" i="3"/>
  <c r="J985" i="3"/>
  <c r="H986" i="3"/>
  <c r="J986" i="3"/>
  <c r="H987" i="3"/>
  <c r="J987" i="3"/>
  <c r="H988" i="3"/>
  <c r="J988" i="3"/>
  <c r="H989" i="3"/>
  <c r="J989" i="3"/>
  <c r="H990" i="3"/>
  <c r="J990" i="3"/>
  <c r="H991" i="3"/>
  <c r="J991" i="3"/>
  <c r="H992" i="3"/>
  <c r="J992" i="3"/>
  <c r="H993" i="3"/>
  <c r="J993" i="3"/>
  <c r="H994" i="3"/>
  <c r="J994" i="3"/>
  <c r="H995" i="3"/>
  <c r="J995" i="3"/>
  <c r="H996" i="3"/>
  <c r="J996" i="3"/>
  <c r="H997" i="3"/>
  <c r="J997" i="3"/>
  <c r="H998" i="3"/>
  <c r="J998" i="3"/>
  <c r="H999" i="3"/>
  <c r="J999" i="3"/>
  <c r="H1000" i="3"/>
  <c r="J1000" i="3"/>
  <c r="H1001" i="3"/>
  <c r="J1001" i="3"/>
  <c r="H1002" i="3"/>
  <c r="J1002" i="3"/>
  <c r="H1003" i="3"/>
  <c r="J1003" i="3"/>
  <c r="H1004" i="3"/>
  <c r="J1004" i="3"/>
  <c r="H1005" i="3"/>
  <c r="J1005" i="3"/>
  <c r="H1006" i="3"/>
  <c r="J1006" i="3"/>
  <c r="H1007" i="3"/>
  <c r="J1007" i="3"/>
  <c r="H1008" i="3"/>
  <c r="J1008" i="3"/>
  <c r="H1009" i="3"/>
  <c r="J1009" i="3"/>
  <c r="H1010" i="3"/>
  <c r="J1010" i="3"/>
  <c r="H1011" i="3"/>
  <c r="J1011" i="3"/>
  <c r="H1012" i="3"/>
  <c r="J1012" i="3"/>
  <c r="H1013" i="3"/>
  <c r="J1013" i="3"/>
  <c r="H1014" i="3"/>
  <c r="J1014" i="3"/>
  <c r="H1015" i="3"/>
  <c r="J1015" i="3"/>
  <c r="H1016" i="3"/>
  <c r="J1016" i="3"/>
  <c r="H1017" i="3"/>
  <c r="J1017" i="3"/>
  <c r="H1018" i="3"/>
  <c r="J1018" i="3"/>
  <c r="H1019" i="3"/>
  <c r="J1019" i="3"/>
  <c r="H1020" i="3"/>
  <c r="J1020" i="3"/>
  <c r="H1021" i="3"/>
  <c r="J1021" i="3"/>
  <c r="H1022" i="3"/>
  <c r="J1022" i="3"/>
  <c r="H1023" i="3"/>
  <c r="J1023" i="3"/>
  <c r="H1024" i="3"/>
  <c r="J1024" i="3"/>
  <c r="H1025" i="3"/>
  <c r="J1025" i="3"/>
  <c r="H1026" i="3"/>
  <c r="J1026" i="3"/>
  <c r="H1027" i="3"/>
  <c r="J1027" i="3"/>
  <c r="H1028" i="3"/>
  <c r="J1028" i="3"/>
  <c r="H1029" i="3"/>
  <c r="J1029" i="3"/>
  <c r="H1030" i="3"/>
  <c r="J1030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E932" i="3"/>
  <c r="G932" i="3"/>
  <c r="E933" i="3"/>
  <c r="G933" i="3"/>
  <c r="E934" i="3"/>
  <c r="G934" i="3"/>
  <c r="E935" i="3"/>
  <c r="G935" i="3"/>
  <c r="E936" i="3"/>
  <c r="G936" i="3"/>
  <c r="E937" i="3"/>
  <c r="G937" i="3"/>
  <c r="E938" i="3"/>
  <c r="G938" i="3"/>
  <c r="E939" i="3"/>
  <c r="G939" i="3"/>
  <c r="E940" i="3"/>
  <c r="G940" i="3"/>
  <c r="E941" i="3"/>
  <c r="G941" i="3"/>
  <c r="E942" i="3"/>
  <c r="G942" i="3"/>
  <c r="E943" i="3"/>
  <c r="G943" i="3"/>
  <c r="E944" i="3"/>
  <c r="G944" i="3"/>
  <c r="E945" i="3"/>
  <c r="G945" i="3"/>
  <c r="E946" i="3"/>
  <c r="G946" i="3"/>
  <c r="E947" i="3"/>
  <c r="G947" i="3"/>
  <c r="E948" i="3"/>
  <c r="G948" i="3"/>
  <c r="E949" i="3"/>
  <c r="G949" i="3"/>
  <c r="E950" i="3"/>
  <c r="G950" i="3"/>
  <c r="E951" i="3"/>
  <c r="G951" i="3"/>
  <c r="E952" i="3"/>
  <c r="G952" i="3"/>
  <c r="E953" i="3"/>
  <c r="G953" i="3"/>
  <c r="E954" i="3"/>
  <c r="G954" i="3"/>
  <c r="E955" i="3"/>
  <c r="G955" i="3"/>
  <c r="E956" i="3"/>
  <c r="G956" i="3"/>
  <c r="E957" i="3"/>
  <c r="G957" i="3"/>
  <c r="E958" i="3"/>
  <c r="G958" i="3"/>
  <c r="E959" i="3"/>
  <c r="G959" i="3"/>
  <c r="E960" i="3"/>
  <c r="G960" i="3"/>
  <c r="E961" i="3"/>
  <c r="G961" i="3"/>
  <c r="E962" i="3"/>
  <c r="G962" i="3"/>
  <c r="E963" i="3"/>
  <c r="G963" i="3"/>
  <c r="E964" i="3"/>
  <c r="G964" i="3"/>
  <c r="E965" i="3"/>
  <c r="G965" i="3"/>
  <c r="E966" i="3"/>
  <c r="G966" i="3"/>
  <c r="E967" i="3"/>
  <c r="G967" i="3"/>
  <c r="E968" i="3"/>
  <c r="G968" i="3"/>
  <c r="E969" i="3"/>
  <c r="G969" i="3"/>
  <c r="E970" i="3"/>
  <c r="G970" i="3"/>
  <c r="E971" i="3"/>
  <c r="G971" i="3"/>
  <c r="E972" i="3"/>
  <c r="G972" i="3"/>
  <c r="E973" i="3"/>
  <c r="G973" i="3"/>
  <c r="E974" i="3"/>
  <c r="G974" i="3"/>
  <c r="E975" i="3"/>
  <c r="G975" i="3"/>
  <c r="E976" i="3"/>
  <c r="G976" i="3"/>
  <c r="E977" i="3"/>
  <c r="G977" i="3"/>
  <c r="E978" i="3"/>
  <c r="G978" i="3"/>
  <c r="E979" i="3"/>
  <c r="G979" i="3"/>
  <c r="E980" i="3"/>
  <c r="G980" i="3"/>
  <c r="E981" i="3"/>
  <c r="G981" i="3"/>
  <c r="E982" i="3"/>
  <c r="G982" i="3"/>
  <c r="E983" i="3"/>
  <c r="G983" i="3"/>
  <c r="E984" i="3"/>
  <c r="G984" i="3"/>
  <c r="E985" i="3"/>
  <c r="G985" i="3"/>
  <c r="E986" i="3"/>
  <c r="G986" i="3"/>
  <c r="E987" i="3"/>
  <c r="G987" i="3"/>
  <c r="E988" i="3"/>
  <c r="G988" i="3"/>
  <c r="E989" i="3"/>
  <c r="G989" i="3"/>
  <c r="E990" i="3"/>
  <c r="G990" i="3"/>
  <c r="E991" i="3"/>
  <c r="G991" i="3"/>
  <c r="E992" i="3"/>
  <c r="G992" i="3"/>
  <c r="E993" i="3"/>
  <c r="G993" i="3"/>
  <c r="E994" i="3"/>
  <c r="G994" i="3"/>
  <c r="E995" i="3"/>
  <c r="G995" i="3"/>
  <c r="E996" i="3"/>
  <c r="G996" i="3"/>
  <c r="E997" i="3"/>
  <c r="G997" i="3"/>
  <c r="E998" i="3"/>
  <c r="G998" i="3"/>
  <c r="E999" i="3"/>
  <c r="G999" i="3"/>
  <c r="E1000" i="3"/>
  <c r="G1000" i="3"/>
  <c r="E1001" i="3"/>
  <c r="G1001" i="3"/>
  <c r="E1002" i="3"/>
  <c r="G1002" i="3"/>
  <c r="E1003" i="3"/>
  <c r="G1003" i="3"/>
  <c r="E1004" i="3"/>
  <c r="G1004" i="3"/>
  <c r="E1005" i="3"/>
  <c r="G1005" i="3"/>
  <c r="E1006" i="3"/>
  <c r="G1006" i="3"/>
  <c r="E1007" i="3"/>
  <c r="G1007" i="3"/>
  <c r="E1008" i="3"/>
  <c r="G1008" i="3"/>
  <c r="E1009" i="3"/>
  <c r="G1009" i="3"/>
  <c r="E1010" i="3"/>
  <c r="G1010" i="3"/>
  <c r="E1011" i="3"/>
  <c r="G1011" i="3"/>
  <c r="E1012" i="3"/>
  <c r="G1012" i="3"/>
  <c r="E1013" i="3"/>
  <c r="G1013" i="3"/>
  <c r="E1014" i="3"/>
  <c r="G1014" i="3"/>
  <c r="E1015" i="3"/>
  <c r="G1015" i="3"/>
  <c r="E1016" i="3"/>
  <c r="G1016" i="3"/>
  <c r="E1017" i="3"/>
  <c r="G1017" i="3"/>
  <c r="E1018" i="3"/>
  <c r="G1018" i="3"/>
  <c r="E1019" i="3"/>
  <c r="G1019" i="3"/>
  <c r="E1020" i="3"/>
  <c r="G1020" i="3"/>
  <c r="E1021" i="3"/>
  <c r="G1021" i="3"/>
  <c r="E1022" i="3"/>
  <c r="G1022" i="3"/>
  <c r="E1023" i="3"/>
  <c r="G1023" i="3"/>
  <c r="E1024" i="3"/>
  <c r="G1024" i="3"/>
  <c r="E1025" i="3"/>
  <c r="G1025" i="3"/>
  <c r="E1026" i="3"/>
  <c r="G1026" i="3"/>
  <c r="E1027" i="3"/>
  <c r="G1027" i="3"/>
  <c r="E1028" i="3"/>
  <c r="G1028" i="3"/>
  <c r="E1029" i="3"/>
  <c r="G1029" i="3"/>
  <c r="E1030" i="3"/>
  <c r="G1030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G5" i="6"/>
  <c r="D21" i="6"/>
  <c r="B109" i="3"/>
  <c r="C15" i="8"/>
  <c r="C15" i="15"/>
  <c r="D15" i="15"/>
  <c r="D25" i="16"/>
  <c r="D27" i="16"/>
  <c r="D26" i="16"/>
  <c r="C35" i="16"/>
  <c r="D35" i="16"/>
  <c r="C36" i="16"/>
  <c r="D36" i="16"/>
  <c r="C37" i="16"/>
  <c r="D37" i="16"/>
  <c r="C38" i="16"/>
  <c r="D38" i="16"/>
  <c r="C39" i="16"/>
  <c r="D39" i="16"/>
  <c r="C40" i="16"/>
  <c r="D40" i="16"/>
  <c r="C41" i="16"/>
  <c r="D41" i="16"/>
  <c r="C42" i="16"/>
  <c r="D42" i="16"/>
  <c r="C43" i="16"/>
  <c r="D43" i="16"/>
  <c r="C44" i="16"/>
  <c r="D44" i="16"/>
  <c r="C45" i="16"/>
  <c r="D45" i="16"/>
  <c r="C46" i="16"/>
  <c r="D46" i="16"/>
  <c r="C47" i="16"/>
  <c r="D47" i="16"/>
  <c r="C48" i="16"/>
  <c r="D48" i="16"/>
  <c r="C49" i="16"/>
  <c r="D49" i="16"/>
  <c r="C50" i="16"/>
  <c r="D50" i="16"/>
  <c r="C51" i="16"/>
  <c r="D51" i="16"/>
  <c r="C52" i="16"/>
  <c r="D52" i="16"/>
  <c r="C53" i="16"/>
  <c r="D53" i="16"/>
  <c r="C54" i="16"/>
  <c r="D54" i="16"/>
  <c r="C55" i="16"/>
  <c r="D55" i="16"/>
  <c r="C56" i="16"/>
  <c r="D56" i="16"/>
  <c r="C57" i="16"/>
  <c r="D57" i="16"/>
  <c r="C58" i="16"/>
  <c r="D58" i="16"/>
  <c r="C59" i="16"/>
  <c r="D59" i="16"/>
  <c r="C60" i="16"/>
  <c r="D60" i="16"/>
  <c r="C61" i="16"/>
  <c r="D61" i="16"/>
  <c r="C62" i="16"/>
  <c r="D62" i="16"/>
  <c r="C63" i="16"/>
  <c r="D63" i="16"/>
  <c r="C64" i="16"/>
  <c r="D64" i="16"/>
  <c r="C65" i="16"/>
  <c r="D65" i="16"/>
  <c r="C66" i="16"/>
  <c r="D66" i="16"/>
  <c r="C67" i="16"/>
  <c r="D67" i="16"/>
  <c r="C68" i="16"/>
  <c r="D68" i="16"/>
  <c r="C69" i="16"/>
  <c r="D69" i="16"/>
  <c r="C70" i="16"/>
  <c r="D70" i="16"/>
  <c r="C71" i="16"/>
  <c r="D71" i="16"/>
  <c r="C72" i="16"/>
  <c r="D72" i="16"/>
  <c r="C73" i="16"/>
  <c r="D73" i="16"/>
  <c r="C74" i="16"/>
  <c r="D74" i="16"/>
  <c r="C75" i="16"/>
  <c r="D75" i="16"/>
  <c r="C76" i="16"/>
  <c r="D76" i="16"/>
  <c r="C77" i="16"/>
  <c r="D77" i="16"/>
  <c r="C78" i="16"/>
  <c r="D78" i="16"/>
  <c r="C79" i="16"/>
  <c r="D79" i="16"/>
  <c r="C80" i="16"/>
  <c r="D80" i="16"/>
  <c r="C81" i="16"/>
  <c r="D81" i="16"/>
  <c r="C82" i="16"/>
  <c r="D82" i="16"/>
  <c r="C83" i="16"/>
  <c r="D83" i="16"/>
  <c r="C84" i="16"/>
  <c r="D84" i="16"/>
  <c r="C85" i="16"/>
  <c r="D85" i="16"/>
  <c r="C86" i="16"/>
  <c r="D86" i="16"/>
  <c r="C87" i="16"/>
  <c r="D87" i="16"/>
  <c r="C88" i="16"/>
  <c r="D88" i="16"/>
  <c r="C89" i="16"/>
  <c r="D89" i="16"/>
  <c r="C90" i="16"/>
  <c r="D90" i="16"/>
  <c r="C91" i="16"/>
  <c r="D91" i="16"/>
  <c r="C92" i="16"/>
  <c r="D92" i="16"/>
  <c r="C93" i="16"/>
  <c r="D93" i="16"/>
  <c r="C94" i="16"/>
  <c r="D94" i="16"/>
  <c r="C95" i="16"/>
  <c r="D95" i="16"/>
  <c r="C96" i="16"/>
  <c r="D96" i="16"/>
  <c r="C97" i="16"/>
  <c r="D97" i="16"/>
  <c r="C98" i="16"/>
  <c r="D98" i="16"/>
  <c r="C99" i="16"/>
  <c r="D99" i="16"/>
  <c r="C100" i="16"/>
  <c r="D100" i="16"/>
  <c r="C101" i="16"/>
  <c r="D101" i="16"/>
  <c r="C102" i="16"/>
  <c r="D102" i="16"/>
  <c r="C103" i="16"/>
  <c r="D103" i="16"/>
  <c r="C104" i="16"/>
  <c r="D104" i="16"/>
  <c r="C105" i="16"/>
  <c r="D105" i="16"/>
  <c r="C106" i="16"/>
  <c r="D106" i="16"/>
  <c r="C107" i="16"/>
  <c r="D107" i="16"/>
  <c r="C108" i="16"/>
  <c r="D108" i="16"/>
  <c r="C109" i="16"/>
  <c r="D109" i="16"/>
  <c r="C110" i="16"/>
  <c r="D110" i="16"/>
  <c r="C111" i="16"/>
  <c r="D111" i="16"/>
  <c r="C112" i="16"/>
  <c r="D112" i="16"/>
  <c r="C113" i="16"/>
  <c r="D113" i="16"/>
  <c r="C114" i="16"/>
  <c r="D114" i="16"/>
  <c r="C115" i="16"/>
  <c r="D115" i="16"/>
  <c r="C116" i="16"/>
  <c r="D116" i="16"/>
  <c r="C117" i="16"/>
  <c r="D117" i="16"/>
  <c r="C118" i="16"/>
  <c r="D118" i="16"/>
  <c r="C119" i="16"/>
  <c r="D119" i="16"/>
  <c r="C120" i="16"/>
  <c r="D120" i="16"/>
  <c r="C121" i="16"/>
  <c r="D121" i="16"/>
  <c r="C122" i="16"/>
  <c r="D122" i="16"/>
  <c r="C123" i="16"/>
  <c r="D123" i="16"/>
  <c r="C124" i="16"/>
  <c r="D124" i="16"/>
  <c r="C125" i="16"/>
  <c r="D125" i="16"/>
  <c r="C126" i="16"/>
  <c r="D126" i="16"/>
  <c r="C127" i="16"/>
  <c r="D127" i="16"/>
  <c r="C128" i="16"/>
  <c r="D128" i="16"/>
  <c r="C129" i="16"/>
  <c r="D129" i="16"/>
  <c r="C130" i="16"/>
  <c r="D130" i="16"/>
  <c r="C131" i="16"/>
  <c r="D131" i="16"/>
  <c r="C132" i="16"/>
  <c r="D132" i="16"/>
  <c r="C133" i="16"/>
  <c r="D133" i="16"/>
  <c r="C34" i="16"/>
  <c r="D34" i="16"/>
  <c r="K828" i="3"/>
  <c r="K829" i="3"/>
  <c r="K830" i="3"/>
  <c r="K831" i="3"/>
  <c r="K832" i="3"/>
  <c r="K833" i="3"/>
  <c r="K834" i="3"/>
  <c r="K835" i="3"/>
  <c r="K836" i="3"/>
  <c r="K837" i="3"/>
  <c r="K838" i="3"/>
  <c r="K839" i="3"/>
  <c r="K840" i="3"/>
  <c r="K841" i="3"/>
  <c r="K842" i="3"/>
  <c r="K843" i="3"/>
  <c r="K844" i="3"/>
  <c r="K845" i="3"/>
  <c r="K846" i="3"/>
  <c r="K847" i="3"/>
  <c r="K848" i="3"/>
  <c r="K849" i="3"/>
  <c r="K850" i="3"/>
  <c r="K851" i="3"/>
  <c r="K852" i="3"/>
  <c r="K853" i="3"/>
  <c r="K854" i="3"/>
  <c r="K855" i="3"/>
  <c r="K856" i="3"/>
  <c r="K857" i="3"/>
  <c r="K858" i="3"/>
  <c r="K859" i="3"/>
  <c r="K860" i="3"/>
  <c r="K861" i="3"/>
  <c r="K862" i="3"/>
  <c r="K863" i="3"/>
  <c r="K864" i="3"/>
  <c r="K865" i="3"/>
  <c r="K866" i="3"/>
  <c r="K867" i="3"/>
  <c r="K868" i="3"/>
  <c r="K869" i="3"/>
  <c r="K870" i="3"/>
  <c r="K871" i="3"/>
  <c r="K872" i="3"/>
  <c r="K873" i="3"/>
  <c r="K874" i="3"/>
  <c r="K875" i="3"/>
  <c r="K876" i="3"/>
  <c r="K877" i="3"/>
  <c r="K878" i="3"/>
  <c r="K879" i="3"/>
  <c r="K880" i="3"/>
  <c r="K881" i="3"/>
  <c r="K882" i="3"/>
  <c r="K883" i="3"/>
  <c r="K884" i="3"/>
  <c r="K885" i="3"/>
  <c r="K886" i="3"/>
  <c r="K887" i="3"/>
  <c r="K888" i="3"/>
  <c r="K889" i="3"/>
  <c r="K890" i="3"/>
  <c r="K891" i="3"/>
  <c r="K892" i="3"/>
  <c r="K893" i="3"/>
  <c r="K894" i="3"/>
  <c r="K895" i="3"/>
  <c r="K896" i="3"/>
  <c r="K897" i="3"/>
  <c r="K898" i="3"/>
  <c r="K899" i="3"/>
  <c r="K900" i="3"/>
  <c r="K901" i="3"/>
  <c r="K902" i="3"/>
  <c r="K903" i="3"/>
  <c r="K904" i="3"/>
  <c r="K905" i="3"/>
  <c r="K906" i="3"/>
  <c r="K907" i="3"/>
  <c r="K908" i="3"/>
  <c r="K909" i="3"/>
  <c r="K910" i="3"/>
  <c r="K911" i="3"/>
  <c r="K912" i="3"/>
  <c r="K913" i="3"/>
  <c r="K914" i="3"/>
  <c r="K915" i="3"/>
  <c r="K916" i="3"/>
  <c r="K917" i="3"/>
  <c r="K918" i="3"/>
  <c r="K919" i="3"/>
  <c r="K920" i="3"/>
  <c r="K921" i="3"/>
  <c r="K922" i="3"/>
  <c r="K923" i="3"/>
  <c r="K924" i="3"/>
  <c r="K925" i="3"/>
  <c r="K926" i="3"/>
  <c r="K827" i="3"/>
  <c r="M827" i="3"/>
  <c r="M831" i="3"/>
  <c r="M828" i="3"/>
  <c r="M832" i="3"/>
  <c r="M833" i="3"/>
  <c r="M834" i="3"/>
  <c r="M835" i="3"/>
  <c r="M836" i="3"/>
  <c r="M837" i="3"/>
  <c r="M838" i="3"/>
  <c r="B834" i="3"/>
  <c r="B833" i="3"/>
  <c r="B835" i="3"/>
  <c r="R827" i="3"/>
  <c r="B832" i="3"/>
  <c r="B831" i="3"/>
  <c r="E827" i="3"/>
  <c r="E828" i="3"/>
  <c r="C828" i="3"/>
  <c r="H828" i="3"/>
  <c r="B829" i="3"/>
  <c r="B830" i="3"/>
  <c r="I828" i="3"/>
  <c r="E829" i="3"/>
  <c r="C829" i="3"/>
  <c r="H829" i="3"/>
  <c r="I829" i="3"/>
  <c r="E830" i="3"/>
  <c r="C830" i="3"/>
  <c r="H830" i="3"/>
  <c r="I830" i="3"/>
  <c r="E831" i="3"/>
  <c r="C831" i="3"/>
  <c r="H831" i="3"/>
  <c r="I831" i="3"/>
  <c r="E832" i="3"/>
  <c r="C832" i="3"/>
  <c r="H832" i="3"/>
  <c r="I832" i="3"/>
  <c r="E833" i="3"/>
  <c r="C833" i="3"/>
  <c r="H833" i="3"/>
  <c r="I833" i="3"/>
  <c r="E834" i="3"/>
  <c r="C834" i="3"/>
  <c r="H834" i="3"/>
  <c r="I834" i="3"/>
  <c r="E835" i="3"/>
  <c r="C835" i="3"/>
  <c r="H835" i="3"/>
  <c r="I835" i="3"/>
  <c r="E836" i="3"/>
  <c r="C836" i="3"/>
  <c r="H836" i="3"/>
  <c r="I836" i="3"/>
  <c r="E837" i="3"/>
  <c r="C837" i="3"/>
  <c r="H837" i="3"/>
  <c r="I837" i="3"/>
  <c r="E838" i="3"/>
  <c r="C838" i="3"/>
  <c r="H838" i="3"/>
  <c r="I838" i="3"/>
  <c r="E839" i="3"/>
  <c r="C839" i="3"/>
  <c r="H839" i="3"/>
  <c r="I839" i="3"/>
  <c r="E840" i="3"/>
  <c r="C840" i="3"/>
  <c r="H840" i="3"/>
  <c r="I840" i="3"/>
  <c r="E841" i="3"/>
  <c r="C841" i="3"/>
  <c r="H841" i="3"/>
  <c r="I841" i="3"/>
  <c r="E842" i="3"/>
  <c r="C842" i="3"/>
  <c r="H842" i="3"/>
  <c r="I842" i="3"/>
  <c r="E843" i="3"/>
  <c r="C843" i="3"/>
  <c r="H843" i="3"/>
  <c r="I843" i="3"/>
  <c r="E844" i="3"/>
  <c r="C844" i="3"/>
  <c r="H844" i="3"/>
  <c r="I844" i="3"/>
  <c r="E845" i="3"/>
  <c r="C845" i="3"/>
  <c r="H845" i="3"/>
  <c r="I845" i="3"/>
  <c r="E846" i="3"/>
  <c r="C846" i="3"/>
  <c r="H846" i="3"/>
  <c r="I846" i="3"/>
  <c r="E847" i="3"/>
  <c r="C847" i="3"/>
  <c r="H847" i="3"/>
  <c r="I847" i="3"/>
  <c r="E848" i="3"/>
  <c r="C848" i="3"/>
  <c r="H848" i="3"/>
  <c r="I848" i="3"/>
  <c r="E849" i="3"/>
  <c r="C849" i="3"/>
  <c r="H849" i="3"/>
  <c r="I849" i="3"/>
  <c r="E850" i="3"/>
  <c r="C850" i="3"/>
  <c r="H850" i="3"/>
  <c r="I850" i="3"/>
  <c r="E851" i="3"/>
  <c r="C851" i="3"/>
  <c r="H851" i="3"/>
  <c r="I851" i="3"/>
  <c r="E852" i="3"/>
  <c r="C852" i="3"/>
  <c r="H852" i="3"/>
  <c r="I852" i="3"/>
  <c r="E853" i="3"/>
  <c r="C853" i="3"/>
  <c r="H853" i="3"/>
  <c r="I853" i="3"/>
  <c r="E854" i="3"/>
  <c r="C854" i="3"/>
  <c r="H854" i="3"/>
  <c r="I854" i="3"/>
  <c r="E855" i="3"/>
  <c r="C855" i="3"/>
  <c r="H855" i="3"/>
  <c r="I855" i="3"/>
  <c r="E856" i="3"/>
  <c r="C856" i="3"/>
  <c r="H856" i="3"/>
  <c r="I856" i="3"/>
  <c r="E857" i="3"/>
  <c r="C857" i="3"/>
  <c r="H857" i="3"/>
  <c r="I857" i="3"/>
  <c r="E858" i="3"/>
  <c r="C858" i="3"/>
  <c r="H858" i="3"/>
  <c r="I858" i="3"/>
  <c r="E859" i="3"/>
  <c r="C859" i="3"/>
  <c r="H859" i="3"/>
  <c r="I859" i="3"/>
  <c r="E860" i="3"/>
  <c r="C860" i="3"/>
  <c r="H860" i="3"/>
  <c r="I860" i="3"/>
  <c r="E861" i="3"/>
  <c r="C861" i="3"/>
  <c r="H861" i="3"/>
  <c r="I861" i="3"/>
  <c r="E862" i="3"/>
  <c r="C862" i="3"/>
  <c r="H862" i="3"/>
  <c r="I862" i="3"/>
  <c r="E863" i="3"/>
  <c r="C863" i="3"/>
  <c r="H863" i="3"/>
  <c r="I863" i="3"/>
  <c r="E864" i="3"/>
  <c r="C864" i="3"/>
  <c r="H864" i="3"/>
  <c r="I864" i="3"/>
  <c r="E865" i="3"/>
  <c r="C865" i="3"/>
  <c r="H865" i="3"/>
  <c r="I865" i="3"/>
  <c r="E866" i="3"/>
  <c r="C866" i="3"/>
  <c r="H866" i="3"/>
  <c r="I866" i="3"/>
  <c r="E867" i="3"/>
  <c r="C867" i="3"/>
  <c r="H867" i="3"/>
  <c r="I867" i="3"/>
  <c r="E868" i="3"/>
  <c r="C868" i="3"/>
  <c r="H868" i="3"/>
  <c r="I868" i="3"/>
  <c r="E869" i="3"/>
  <c r="C869" i="3"/>
  <c r="H869" i="3"/>
  <c r="I869" i="3"/>
  <c r="E870" i="3"/>
  <c r="C870" i="3"/>
  <c r="H870" i="3"/>
  <c r="I870" i="3"/>
  <c r="E871" i="3"/>
  <c r="C871" i="3"/>
  <c r="H871" i="3"/>
  <c r="I871" i="3"/>
  <c r="E872" i="3"/>
  <c r="C872" i="3"/>
  <c r="H872" i="3"/>
  <c r="I872" i="3"/>
  <c r="E873" i="3"/>
  <c r="C873" i="3"/>
  <c r="H873" i="3"/>
  <c r="I873" i="3"/>
  <c r="E874" i="3"/>
  <c r="C874" i="3"/>
  <c r="H874" i="3"/>
  <c r="I874" i="3"/>
  <c r="E875" i="3"/>
  <c r="C875" i="3"/>
  <c r="H875" i="3"/>
  <c r="I875" i="3"/>
  <c r="E876" i="3"/>
  <c r="C876" i="3"/>
  <c r="H876" i="3"/>
  <c r="I876" i="3"/>
  <c r="E877" i="3"/>
  <c r="C877" i="3"/>
  <c r="H877" i="3"/>
  <c r="I877" i="3"/>
  <c r="E878" i="3"/>
  <c r="C878" i="3"/>
  <c r="H878" i="3"/>
  <c r="I878" i="3"/>
  <c r="E879" i="3"/>
  <c r="C879" i="3"/>
  <c r="H879" i="3"/>
  <c r="I879" i="3"/>
  <c r="E880" i="3"/>
  <c r="C880" i="3"/>
  <c r="H880" i="3"/>
  <c r="I880" i="3"/>
  <c r="E881" i="3"/>
  <c r="C881" i="3"/>
  <c r="H881" i="3"/>
  <c r="I881" i="3"/>
  <c r="E882" i="3"/>
  <c r="C882" i="3"/>
  <c r="H882" i="3"/>
  <c r="I882" i="3"/>
  <c r="E883" i="3"/>
  <c r="C883" i="3"/>
  <c r="H883" i="3"/>
  <c r="I883" i="3"/>
  <c r="E884" i="3"/>
  <c r="C884" i="3"/>
  <c r="H884" i="3"/>
  <c r="I884" i="3"/>
  <c r="E885" i="3"/>
  <c r="C885" i="3"/>
  <c r="H885" i="3"/>
  <c r="I885" i="3"/>
  <c r="E886" i="3"/>
  <c r="C886" i="3"/>
  <c r="H886" i="3"/>
  <c r="I886" i="3"/>
  <c r="E887" i="3"/>
  <c r="C887" i="3"/>
  <c r="H887" i="3"/>
  <c r="I887" i="3"/>
  <c r="E888" i="3"/>
  <c r="C888" i="3"/>
  <c r="H888" i="3"/>
  <c r="I888" i="3"/>
  <c r="E889" i="3"/>
  <c r="C889" i="3"/>
  <c r="H889" i="3"/>
  <c r="I889" i="3"/>
  <c r="E890" i="3"/>
  <c r="C890" i="3"/>
  <c r="H890" i="3"/>
  <c r="I890" i="3"/>
  <c r="E891" i="3"/>
  <c r="C891" i="3"/>
  <c r="H891" i="3"/>
  <c r="I891" i="3"/>
  <c r="E892" i="3"/>
  <c r="C892" i="3"/>
  <c r="H892" i="3"/>
  <c r="I892" i="3"/>
  <c r="E893" i="3"/>
  <c r="C893" i="3"/>
  <c r="H893" i="3"/>
  <c r="I893" i="3"/>
  <c r="E894" i="3"/>
  <c r="C894" i="3"/>
  <c r="H894" i="3"/>
  <c r="I894" i="3"/>
  <c r="E895" i="3"/>
  <c r="C895" i="3"/>
  <c r="H895" i="3"/>
  <c r="I895" i="3"/>
  <c r="E896" i="3"/>
  <c r="C896" i="3"/>
  <c r="H896" i="3"/>
  <c r="I896" i="3"/>
  <c r="E897" i="3"/>
  <c r="C897" i="3"/>
  <c r="H897" i="3"/>
  <c r="I897" i="3"/>
  <c r="E898" i="3"/>
  <c r="C898" i="3"/>
  <c r="H898" i="3"/>
  <c r="I898" i="3"/>
  <c r="E899" i="3"/>
  <c r="C899" i="3"/>
  <c r="H899" i="3"/>
  <c r="I899" i="3"/>
  <c r="E900" i="3"/>
  <c r="C900" i="3"/>
  <c r="H900" i="3"/>
  <c r="I900" i="3"/>
  <c r="E901" i="3"/>
  <c r="C901" i="3"/>
  <c r="H901" i="3"/>
  <c r="I901" i="3"/>
  <c r="E902" i="3"/>
  <c r="C902" i="3"/>
  <c r="H902" i="3"/>
  <c r="I902" i="3"/>
  <c r="E903" i="3"/>
  <c r="C903" i="3"/>
  <c r="H903" i="3"/>
  <c r="I903" i="3"/>
  <c r="E904" i="3"/>
  <c r="C904" i="3"/>
  <c r="H904" i="3"/>
  <c r="I904" i="3"/>
  <c r="E905" i="3"/>
  <c r="C905" i="3"/>
  <c r="H905" i="3"/>
  <c r="I905" i="3"/>
  <c r="E906" i="3"/>
  <c r="C906" i="3"/>
  <c r="H906" i="3"/>
  <c r="I906" i="3"/>
  <c r="E907" i="3"/>
  <c r="C907" i="3"/>
  <c r="H907" i="3"/>
  <c r="I907" i="3"/>
  <c r="E908" i="3"/>
  <c r="C908" i="3"/>
  <c r="H908" i="3"/>
  <c r="I908" i="3"/>
  <c r="E909" i="3"/>
  <c r="C909" i="3"/>
  <c r="H909" i="3"/>
  <c r="I909" i="3"/>
  <c r="E910" i="3"/>
  <c r="C910" i="3"/>
  <c r="H910" i="3"/>
  <c r="I910" i="3"/>
  <c r="E911" i="3"/>
  <c r="C911" i="3"/>
  <c r="H911" i="3"/>
  <c r="I911" i="3"/>
  <c r="E912" i="3"/>
  <c r="C912" i="3"/>
  <c r="H912" i="3"/>
  <c r="I912" i="3"/>
  <c r="E913" i="3"/>
  <c r="C913" i="3"/>
  <c r="H913" i="3"/>
  <c r="I913" i="3"/>
  <c r="E914" i="3"/>
  <c r="C914" i="3"/>
  <c r="H914" i="3"/>
  <c r="I914" i="3"/>
  <c r="E915" i="3"/>
  <c r="C915" i="3"/>
  <c r="H915" i="3"/>
  <c r="I915" i="3"/>
  <c r="E916" i="3"/>
  <c r="C916" i="3"/>
  <c r="H916" i="3"/>
  <c r="I916" i="3"/>
  <c r="E917" i="3"/>
  <c r="C917" i="3"/>
  <c r="H917" i="3"/>
  <c r="I917" i="3"/>
  <c r="E918" i="3"/>
  <c r="C918" i="3"/>
  <c r="H918" i="3"/>
  <c r="I918" i="3"/>
  <c r="E919" i="3"/>
  <c r="C919" i="3"/>
  <c r="H919" i="3"/>
  <c r="I919" i="3"/>
  <c r="E920" i="3"/>
  <c r="C920" i="3"/>
  <c r="H920" i="3"/>
  <c r="I920" i="3"/>
  <c r="E921" i="3"/>
  <c r="C921" i="3"/>
  <c r="H921" i="3"/>
  <c r="I921" i="3"/>
  <c r="E922" i="3"/>
  <c r="C922" i="3"/>
  <c r="H922" i="3"/>
  <c r="I922" i="3"/>
  <c r="E923" i="3"/>
  <c r="C923" i="3"/>
  <c r="H923" i="3"/>
  <c r="I923" i="3"/>
  <c r="E924" i="3"/>
  <c r="C924" i="3"/>
  <c r="H924" i="3"/>
  <c r="I924" i="3"/>
  <c r="E925" i="3"/>
  <c r="C925" i="3"/>
  <c r="H925" i="3"/>
  <c r="I925" i="3"/>
  <c r="E926" i="3"/>
  <c r="C926" i="3"/>
  <c r="H926" i="3"/>
  <c r="I926" i="3"/>
  <c r="C827" i="3"/>
  <c r="H827" i="3"/>
  <c r="I827" i="3"/>
  <c r="F828" i="3"/>
  <c r="G828" i="3"/>
  <c r="F829" i="3"/>
  <c r="G829" i="3"/>
  <c r="F830" i="3"/>
  <c r="G830" i="3"/>
  <c r="F831" i="3"/>
  <c r="G831" i="3"/>
  <c r="F832" i="3"/>
  <c r="G832" i="3"/>
  <c r="F833" i="3"/>
  <c r="G833" i="3"/>
  <c r="F834" i="3"/>
  <c r="G834" i="3"/>
  <c r="F835" i="3"/>
  <c r="G835" i="3"/>
  <c r="F836" i="3"/>
  <c r="G836" i="3"/>
  <c r="F837" i="3"/>
  <c r="G837" i="3"/>
  <c r="F838" i="3"/>
  <c r="G838" i="3"/>
  <c r="F839" i="3"/>
  <c r="G839" i="3"/>
  <c r="F840" i="3"/>
  <c r="G840" i="3"/>
  <c r="F841" i="3"/>
  <c r="G841" i="3"/>
  <c r="F842" i="3"/>
  <c r="G842" i="3"/>
  <c r="F843" i="3"/>
  <c r="G843" i="3"/>
  <c r="F844" i="3"/>
  <c r="G844" i="3"/>
  <c r="F845" i="3"/>
  <c r="G845" i="3"/>
  <c r="F846" i="3"/>
  <c r="G846" i="3"/>
  <c r="F847" i="3"/>
  <c r="G847" i="3"/>
  <c r="F848" i="3"/>
  <c r="G848" i="3"/>
  <c r="F849" i="3"/>
  <c r="G849" i="3"/>
  <c r="F850" i="3"/>
  <c r="G850" i="3"/>
  <c r="F851" i="3"/>
  <c r="G851" i="3"/>
  <c r="F852" i="3"/>
  <c r="G852" i="3"/>
  <c r="F853" i="3"/>
  <c r="G853" i="3"/>
  <c r="F854" i="3"/>
  <c r="G854" i="3"/>
  <c r="F855" i="3"/>
  <c r="G855" i="3"/>
  <c r="F856" i="3"/>
  <c r="G856" i="3"/>
  <c r="F857" i="3"/>
  <c r="G857" i="3"/>
  <c r="F858" i="3"/>
  <c r="G858" i="3"/>
  <c r="F859" i="3"/>
  <c r="G859" i="3"/>
  <c r="F860" i="3"/>
  <c r="G860" i="3"/>
  <c r="F861" i="3"/>
  <c r="G861" i="3"/>
  <c r="F862" i="3"/>
  <c r="G862" i="3"/>
  <c r="F863" i="3"/>
  <c r="G863" i="3"/>
  <c r="F864" i="3"/>
  <c r="G864" i="3"/>
  <c r="F865" i="3"/>
  <c r="G865" i="3"/>
  <c r="F866" i="3"/>
  <c r="G866" i="3"/>
  <c r="F867" i="3"/>
  <c r="G867" i="3"/>
  <c r="F868" i="3"/>
  <c r="G868" i="3"/>
  <c r="F869" i="3"/>
  <c r="G869" i="3"/>
  <c r="F870" i="3"/>
  <c r="G870" i="3"/>
  <c r="F871" i="3"/>
  <c r="G871" i="3"/>
  <c r="F872" i="3"/>
  <c r="G872" i="3"/>
  <c r="F873" i="3"/>
  <c r="G873" i="3"/>
  <c r="F874" i="3"/>
  <c r="G874" i="3"/>
  <c r="F875" i="3"/>
  <c r="G875" i="3"/>
  <c r="F876" i="3"/>
  <c r="G876" i="3"/>
  <c r="F877" i="3"/>
  <c r="G877" i="3"/>
  <c r="F878" i="3"/>
  <c r="G878" i="3"/>
  <c r="F879" i="3"/>
  <c r="G879" i="3"/>
  <c r="F880" i="3"/>
  <c r="G880" i="3"/>
  <c r="F881" i="3"/>
  <c r="G881" i="3"/>
  <c r="F882" i="3"/>
  <c r="G882" i="3"/>
  <c r="F883" i="3"/>
  <c r="G883" i="3"/>
  <c r="F884" i="3"/>
  <c r="G884" i="3"/>
  <c r="F885" i="3"/>
  <c r="G885" i="3"/>
  <c r="F886" i="3"/>
  <c r="G886" i="3"/>
  <c r="F887" i="3"/>
  <c r="G887" i="3"/>
  <c r="F888" i="3"/>
  <c r="G888" i="3"/>
  <c r="F889" i="3"/>
  <c r="G889" i="3"/>
  <c r="F890" i="3"/>
  <c r="G890" i="3"/>
  <c r="F891" i="3"/>
  <c r="G891" i="3"/>
  <c r="F892" i="3"/>
  <c r="G892" i="3"/>
  <c r="F893" i="3"/>
  <c r="G893" i="3"/>
  <c r="F894" i="3"/>
  <c r="G894" i="3"/>
  <c r="F895" i="3"/>
  <c r="G895" i="3"/>
  <c r="F896" i="3"/>
  <c r="G896" i="3"/>
  <c r="F897" i="3"/>
  <c r="G897" i="3"/>
  <c r="F898" i="3"/>
  <c r="G898" i="3"/>
  <c r="F899" i="3"/>
  <c r="G899" i="3"/>
  <c r="F900" i="3"/>
  <c r="G900" i="3"/>
  <c r="F901" i="3"/>
  <c r="G901" i="3"/>
  <c r="F902" i="3"/>
  <c r="G902" i="3"/>
  <c r="F903" i="3"/>
  <c r="G903" i="3"/>
  <c r="F904" i="3"/>
  <c r="G904" i="3"/>
  <c r="F905" i="3"/>
  <c r="G905" i="3"/>
  <c r="F906" i="3"/>
  <c r="G906" i="3"/>
  <c r="F907" i="3"/>
  <c r="G907" i="3"/>
  <c r="F908" i="3"/>
  <c r="G908" i="3"/>
  <c r="F909" i="3"/>
  <c r="G909" i="3"/>
  <c r="F910" i="3"/>
  <c r="G910" i="3"/>
  <c r="F911" i="3"/>
  <c r="G911" i="3"/>
  <c r="F912" i="3"/>
  <c r="G912" i="3"/>
  <c r="F913" i="3"/>
  <c r="G913" i="3"/>
  <c r="F914" i="3"/>
  <c r="G914" i="3"/>
  <c r="F915" i="3"/>
  <c r="G915" i="3"/>
  <c r="F916" i="3"/>
  <c r="G916" i="3"/>
  <c r="F917" i="3"/>
  <c r="G917" i="3"/>
  <c r="F918" i="3"/>
  <c r="G918" i="3"/>
  <c r="F919" i="3"/>
  <c r="G919" i="3"/>
  <c r="F920" i="3"/>
  <c r="G920" i="3"/>
  <c r="F921" i="3"/>
  <c r="G921" i="3"/>
  <c r="F922" i="3"/>
  <c r="G922" i="3"/>
  <c r="F923" i="3"/>
  <c r="G923" i="3"/>
  <c r="F924" i="3"/>
  <c r="G924" i="3"/>
  <c r="F925" i="3"/>
  <c r="G925" i="3"/>
  <c r="F926" i="3"/>
  <c r="G926" i="3"/>
  <c r="F827" i="3"/>
  <c r="G827" i="3"/>
  <c r="Q827" i="3"/>
  <c r="B838" i="3"/>
  <c r="Q923" i="3"/>
  <c r="R923" i="3"/>
  <c r="Q924" i="3"/>
  <c r="R924" i="3"/>
  <c r="Q925" i="3"/>
  <c r="R925" i="3"/>
  <c r="Q926" i="3"/>
  <c r="R926" i="3"/>
  <c r="Q828" i="3"/>
  <c r="R828" i="3"/>
  <c r="Q829" i="3"/>
  <c r="R829" i="3"/>
  <c r="Q830" i="3"/>
  <c r="R830" i="3"/>
  <c r="Q831" i="3"/>
  <c r="R831" i="3"/>
  <c r="Q832" i="3"/>
  <c r="R832" i="3"/>
  <c r="Q833" i="3"/>
  <c r="R833" i="3"/>
  <c r="Q834" i="3"/>
  <c r="R834" i="3"/>
  <c r="Q835" i="3"/>
  <c r="R835" i="3"/>
  <c r="Q836" i="3"/>
  <c r="R836" i="3"/>
  <c r="Q837" i="3"/>
  <c r="R837" i="3"/>
  <c r="Q838" i="3"/>
  <c r="R838" i="3"/>
  <c r="Q839" i="3"/>
  <c r="R839" i="3"/>
  <c r="Q840" i="3"/>
  <c r="R840" i="3"/>
  <c r="Q841" i="3"/>
  <c r="R841" i="3"/>
  <c r="Q842" i="3"/>
  <c r="R842" i="3"/>
  <c r="Q843" i="3"/>
  <c r="R843" i="3"/>
  <c r="Q844" i="3"/>
  <c r="R844" i="3"/>
  <c r="Q845" i="3"/>
  <c r="R845" i="3"/>
  <c r="Q846" i="3"/>
  <c r="R846" i="3"/>
  <c r="Q847" i="3"/>
  <c r="R847" i="3"/>
  <c r="Q848" i="3"/>
  <c r="R848" i="3"/>
  <c r="Q849" i="3"/>
  <c r="R849" i="3"/>
  <c r="Q850" i="3"/>
  <c r="R850" i="3"/>
  <c r="Q851" i="3"/>
  <c r="R851" i="3"/>
  <c r="Q852" i="3"/>
  <c r="R852" i="3"/>
  <c r="Q853" i="3"/>
  <c r="R853" i="3"/>
  <c r="Q854" i="3"/>
  <c r="R854" i="3"/>
  <c r="Q855" i="3"/>
  <c r="R855" i="3"/>
  <c r="Q856" i="3"/>
  <c r="R856" i="3"/>
  <c r="Q857" i="3"/>
  <c r="R857" i="3"/>
  <c r="Q858" i="3"/>
  <c r="R858" i="3"/>
  <c r="Q859" i="3"/>
  <c r="R859" i="3"/>
  <c r="Q860" i="3"/>
  <c r="R860" i="3"/>
  <c r="Q861" i="3"/>
  <c r="R861" i="3"/>
  <c r="Q862" i="3"/>
  <c r="R862" i="3"/>
  <c r="Q863" i="3"/>
  <c r="R863" i="3"/>
  <c r="Q864" i="3"/>
  <c r="R864" i="3"/>
  <c r="Q865" i="3"/>
  <c r="R865" i="3"/>
  <c r="Q866" i="3"/>
  <c r="R866" i="3"/>
  <c r="Q867" i="3"/>
  <c r="R867" i="3"/>
  <c r="Q868" i="3"/>
  <c r="R868" i="3"/>
  <c r="Q869" i="3"/>
  <c r="R869" i="3"/>
  <c r="Q870" i="3"/>
  <c r="R870" i="3"/>
  <c r="Q871" i="3"/>
  <c r="R871" i="3"/>
  <c r="Q872" i="3"/>
  <c r="R872" i="3"/>
  <c r="Q873" i="3"/>
  <c r="R873" i="3"/>
  <c r="Q874" i="3"/>
  <c r="R874" i="3"/>
  <c r="Q875" i="3"/>
  <c r="R875" i="3"/>
  <c r="Q876" i="3"/>
  <c r="R876" i="3"/>
  <c r="Q877" i="3"/>
  <c r="R877" i="3"/>
  <c r="Q878" i="3"/>
  <c r="R878" i="3"/>
  <c r="Q879" i="3"/>
  <c r="R879" i="3"/>
  <c r="Q880" i="3"/>
  <c r="R880" i="3"/>
  <c r="Q881" i="3"/>
  <c r="R881" i="3"/>
  <c r="Q882" i="3"/>
  <c r="R882" i="3"/>
  <c r="Q883" i="3"/>
  <c r="R883" i="3"/>
  <c r="Q884" i="3"/>
  <c r="R884" i="3"/>
  <c r="Q885" i="3"/>
  <c r="R885" i="3"/>
  <c r="Q886" i="3"/>
  <c r="R886" i="3"/>
  <c r="Q887" i="3"/>
  <c r="R887" i="3"/>
  <c r="Q888" i="3"/>
  <c r="R888" i="3"/>
  <c r="Q889" i="3"/>
  <c r="R889" i="3"/>
  <c r="Q890" i="3"/>
  <c r="R890" i="3"/>
  <c r="Q891" i="3"/>
  <c r="R891" i="3"/>
  <c r="Q892" i="3"/>
  <c r="R892" i="3"/>
  <c r="Q893" i="3"/>
  <c r="R893" i="3"/>
  <c r="Q894" i="3"/>
  <c r="R894" i="3"/>
  <c r="Q895" i="3"/>
  <c r="R895" i="3"/>
  <c r="Q896" i="3"/>
  <c r="R896" i="3"/>
  <c r="Q897" i="3"/>
  <c r="R897" i="3"/>
  <c r="Q898" i="3"/>
  <c r="R898" i="3"/>
  <c r="Q899" i="3"/>
  <c r="R899" i="3"/>
  <c r="Q900" i="3"/>
  <c r="R900" i="3"/>
  <c r="Q901" i="3"/>
  <c r="R901" i="3"/>
  <c r="Q902" i="3"/>
  <c r="R902" i="3"/>
  <c r="Q903" i="3"/>
  <c r="R903" i="3"/>
  <c r="Q904" i="3"/>
  <c r="R904" i="3"/>
  <c r="Q905" i="3"/>
  <c r="R905" i="3"/>
  <c r="Q906" i="3"/>
  <c r="R906" i="3"/>
  <c r="Q907" i="3"/>
  <c r="R907" i="3"/>
  <c r="Q908" i="3"/>
  <c r="R908" i="3"/>
  <c r="Q909" i="3"/>
  <c r="R909" i="3"/>
  <c r="Q910" i="3"/>
  <c r="R910" i="3"/>
  <c r="Q911" i="3"/>
  <c r="R911" i="3"/>
  <c r="Q912" i="3"/>
  <c r="R912" i="3"/>
  <c r="Q913" i="3"/>
  <c r="R913" i="3"/>
  <c r="Q914" i="3"/>
  <c r="R914" i="3"/>
  <c r="Q915" i="3"/>
  <c r="R915" i="3"/>
  <c r="Q916" i="3"/>
  <c r="R916" i="3"/>
  <c r="Q917" i="3"/>
  <c r="R917" i="3"/>
  <c r="Q918" i="3"/>
  <c r="R918" i="3"/>
  <c r="Q919" i="3"/>
  <c r="R919" i="3"/>
  <c r="Q920" i="3"/>
  <c r="R920" i="3"/>
  <c r="Q921" i="3"/>
  <c r="R921" i="3"/>
  <c r="Q922" i="3"/>
  <c r="R922" i="3"/>
  <c r="D21" i="16"/>
  <c r="D23" i="16"/>
  <c r="D22" i="16"/>
  <c r="B828" i="3"/>
  <c r="B827" i="3"/>
  <c r="B626" i="3"/>
  <c r="B625" i="3"/>
  <c r="C33" i="14"/>
  <c r="D33" i="14"/>
  <c r="K623" i="3"/>
  <c r="C34" i="14"/>
  <c r="D34" i="14"/>
  <c r="K624" i="3"/>
  <c r="C35" i="14"/>
  <c r="D35" i="14"/>
  <c r="K625" i="3"/>
  <c r="C36" i="14"/>
  <c r="D36" i="14"/>
  <c r="K626" i="3"/>
  <c r="C37" i="14"/>
  <c r="D37" i="14"/>
  <c r="K627" i="3"/>
  <c r="C38" i="14"/>
  <c r="D38" i="14"/>
  <c r="K628" i="3"/>
  <c r="C39" i="14"/>
  <c r="D39" i="14"/>
  <c r="K629" i="3"/>
  <c r="C40" i="14"/>
  <c r="D40" i="14"/>
  <c r="K630" i="3"/>
  <c r="C41" i="14"/>
  <c r="D41" i="14"/>
  <c r="K631" i="3"/>
  <c r="C42" i="14"/>
  <c r="D42" i="14"/>
  <c r="K632" i="3"/>
  <c r="C43" i="14"/>
  <c r="D43" i="14"/>
  <c r="K633" i="3"/>
  <c r="C44" i="14"/>
  <c r="D44" i="14"/>
  <c r="K634" i="3"/>
  <c r="C45" i="14"/>
  <c r="D45" i="14"/>
  <c r="K635" i="3"/>
  <c r="C46" i="14"/>
  <c r="D46" i="14"/>
  <c r="K636" i="3"/>
  <c r="C47" i="14"/>
  <c r="D47" i="14"/>
  <c r="K637" i="3"/>
  <c r="C48" i="14"/>
  <c r="D48" i="14"/>
  <c r="K638" i="3"/>
  <c r="C49" i="14"/>
  <c r="D49" i="14"/>
  <c r="K639" i="3"/>
  <c r="C50" i="14"/>
  <c r="D50" i="14"/>
  <c r="K640" i="3"/>
  <c r="C51" i="14"/>
  <c r="D51" i="14"/>
  <c r="K641" i="3"/>
  <c r="C52" i="14"/>
  <c r="D52" i="14"/>
  <c r="K642" i="3"/>
  <c r="C53" i="14"/>
  <c r="D53" i="14"/>
  <c r="K643" i="3"/>
  <c r="C54" i="14"/>
  <c r="D54" i="14"/>
  <c r="K644" i="3"/>
  <c r="C55" i="14"/>
  <c r="D55" i="14"/>
  <c r="K645" i="3"/>
  <c r="C56" i="14"/>
  <c r="D56" i="14"/>
  <c r="K646" i="3"/>
  <c r="C57" i="14"/>
  <c r="D57" i="14"/>
  <c r="K647" i="3"/>
  <c r="C58" i="14"/>
  <c r="D58" i="14"/>
  <c r="K648" i="3"/>
  <c r="C59" i="14"/>
  <c r="D59" i="14"/>
  <c r="K649" i="3"/>
  <c r="C60" i="14"/>
  <c r="D60" i="14"/>
  <c r="K650" i="3"/>
  <c r="C61" i="14"/>
  <c r="D61" i="14"/>
  <c r="K651" i="3"/>
  <c r="C62" i="14"/>
  <c r="D62" i="14"/>
  <c r="K652" i="3"/>
  <c r="C63" i="14"/>
  <c r="D63" i="14"/>
  <c r="K653" i="3"/>
  <c r="C64" i="14"/>
  <c r="D64" i="14"/>
  <c r="K654" i="3"/>
  <c r="C65" i="14"/>
  <c r="D65" i="14"/>
  <c r="K655" i="3"/>
  <c r="C66" i="14"/>
  <c r="D66" i="14"/>
  <c r="K656" i="3"/>
  <c r="C67" i="14"/>
  <c r="D67" i="14"/>
  <c r="K657" i="3"/>
  <c r="C68" i="14"/>
  <c r="D68" i="14"/>
  <c r="K658" i="3"/>
  <c r="C69" i="14"/>
  <c r="D69" i="14"/>
  <c r="K659" i="3"/>
  <c r="C70" i="14"/>
  <c r="D70" i="14"/>
  <c r="K660" i="3"/>
  <c r="C71" i="14"/>
  <c r="D71" i="14"/>
  <c r="K661" i="3"/>
  <c r="C72" i="14"/>
  <c r="D72" i="14"/>
  <c r="K662" i="3"/>
  <c r="C73" i="14"/>
  <c r="D73" i="14"/>
  <c r="K663" i="3"/>
  <c r="C74" i="14"/>
  <c r="D74" i="14"/>
  <c r="K664" i="3"/>
  <c r="C75" i="14"/>
  <c r="D75" i="14"/>
  <c r="K665" i="3"/>
  <c r="C76" i="14"/>
  <c r="D76" i="14"/>
  <c r="K666" i="3"/>
  <c r="C77" i="14"/>
  <c r="D77" i="14"/>
  <c r="K667" i="3"/>
  <c r="C78" i="14"/>
  <c r="D78" i="14"/>
  <c r="K668" i="3"/>
  <c r="C79" i="14"/>
  <c r="D79" i="14"/>
  <c r="K669" i="3"/>
  <c r="C80" i="14"/>
  <c r="D80" i="14"/>
  <c r="K670" i="3"/>
  <c r="C81" i="14"/>
  <c r="D81" i="14"/>
  <c r="K671" i="3"/>
  <c r="C82" i="14"/>
  <c r="D82" i="14"/>
  <c r="K672" i="3"/>
  <c r="C83" i="14"/>
  <c r="D83" i="14"/>
  <c r="K673" i="3"/>
  <c r="C84" i="14"/>
  <c r="D84" i="14"/>
  <c r="K674" i="3"/>
  <c r="C85" i="14"/>
  <c r="D85" i="14"/>
  <c r="K675" i="3"/>
  <c r="C86" i="14"/>
  <c r="D86" i="14"/>
  <c r="K676" i="3"/>
  <c r="C87" i="14"/>
  <c r="D87" i="14"/>
  <c r="K677" i="3"/>
  <c r="C88" i="14"/>
  <c r="D88" i="14"/>
  <c r="K678" i="3"/>
  <c r="C89" i="14"/>
  <c r="D89" i="14"/>
  <c r="K679" i="3"/>
  <c r="C90" i="14"/>
  <c r="D90" i="14"/>
  <c r="K680" i="3"/>
  <c r="C91" i="14"/>
  <c r="D91" i="14"/>
  <c r="K681" i="3"/>
  <c r="C92" i="14"/>
  <c r="D92" i="14"/>
  <c r="K682" i="3"/>
  <c r="C93" i="14"/>
  <c r="D93" i="14"/>
  <c r="K683" i="3"/>
  <c r="C94" i="14"/>
  <c r="D94" i="14"/>
  <c r="K684" i="3"/>
  <c r="C95" i="14"/>
  <c r="D95" i="14"/>
  <c r="K685" i="3"/>
  <c r="C96" i="14"/>
  <c r="D96" i="14"/>
  <c r="K686" i="3"/>
  <c r="C97" i="14"/>
  <c r="D97" i="14"/>
  <c r="K687" i="3"/>
  <c r="C98" i="14"/>
  <c r="D98" i="14"/>
  <c r="K688" i="3"/>
  <c r="C99" i="14"/>
  <c r="D99" i="14"/>
  <c r="K689" i="3"/>
  <c r="C100" i="14"/>
  <c r="D100" i="14"/>
  <c r="K690" i="3"/>
  <c r="C101" i="14"/>
  <c r="D101" i="14"/>
  <c r="K691" i="3"/>
  <c r="C102" i="14"/>
  <c r="D102" i="14"/>
  <c r="K692" i="3"/>
  <c r="C103" i="14"/>
  <c r="D103" i="14"/>
  <c r="K693" i="3"/>
  <c r="C104" i="14"/>
  <c r="D104" i="14"/>
  <c r="K694" i="3"/>
  <c r="C105" i="14"/>
  <c r="D105" i="14"/>
  <c r="K695" i="3"/>
  <c r="C106" i="14"/>
  <c r="D106" i="14"/>
  <c r="K696" i="3"/>
  <c r="C107" i="14"/>
  <c r="D107" i="14"/>
  <c r="K697" i="3"/>
  <c r="C108" i="14"/>
  <c r="D108" i="14"/>
  <c r="K698" i="3"/>
  <c r="C109" i="14"/>
  <c r="D109" i="14"/>
  <c r="K699" i="3"/>
  <c r="C110" i="14"/>
  <c r="D110" i="14"/>
  <c r="K700" i="3"/>
  <c r="C111" i="14"/>
  <c r="D111" i="14"/>
  <c r="K701" i="3"/>
  <c r="C112" i="14"/>
  <c r="D112" i="14"/>
  <c r="K702" i="3"/>
  <c r="C113" i="14"/>
  <c r="D113" i="14"/>
  <c r="K703" i="3"/>
  <c r="C114" i="14"/>
  <c r="D114" i="14"/>
  <c r="K704" i="3"/>
  <c r="C115" i="14"/>
  <c r="D115" i="14"/>
  <c r="K705" i="3"/>
  <c r="C116" i="14"/>
  <c r="D116" i="14"/>
  <c r="K706" i="3"/>
  <c r="C117" i="14"/>
  <c r="D117" i="14"/>
  <c r="K707" i="3"/>
  <c r="C118" i="14"/>
  <c r="D118" i="14"/>
  <c r="K708" i="3"/>
  <c r="C119" i="14"/>
  <c r="D119" i="14"/>
  <c r="K709" i="3"/>
  <c r="C120" i="14"/>
  <c r="D120" i="14"/>
  <c r="K710" i="3"/>
  <c r="C121" i="14"/>
  <c r="D121" i="14"/>
  <c r="K711" i="3"/>
  <c r="C122" i="14"/>
  <c r="D122" i="14"/>
  <c r="K712" i="3"/>
  <c r="C123" i="14"/>
  <c r="D123" i="14"/>
  <c r="K713" i="3"/>
  <c r="C124" i="14"/>
  <c r="D124" i="14"/>
  <c r="K714" i="3"/>
  <c r="C125" i="14"/>
  <c r="D125" i="14"/>
  <c r="K715" i="3"/>
  <c r="C126" i="14"/>
  <c r="D126" i="14"/>
  <c r="K716" i="3"/>
  <c r="C127" i="14"/>
  <c r="D127" i="14"/>
  <c r="K717" i="3"/>
  <c r="C128" i="14"/>
  <c r="D128" i="14"/>
  <c r="K718" i="3"/>
  <c r="C129" i="14"/>
  <c r="D129" i="14"/>
  <c r="K719" i="3"/>
  <c r="C130" i="14"/>
  <c r="D130" i="14"/>
  <c r="K720" i="3"/>
  <c r="C131" i="14"/>
  <c r="D131" i="14"/>
  <c r="K721" i="3"/>
  <c r="C132" i="14"/>
  <c r="D132" i="14"/>
  <c r="K722" i="3"/>
  <c r="M624" i="3"/>
  <c r="M623" i="3"/>
  <c r="O831" i="3"/>
  <c r="O832" i="3"/>
  <c r="O833" i="3"/>
  <c r="O834" i="3"/>
  <c r="O835" i="3"/>
  <c r="O836" i="3"/>
  <c r="O837" i="3"/>
  <c r="O842" i="3"/>
  <c r="N831" i="3"/>
  <c r="N832" i="3"/>
  <c r="N833" i="3"/>
  <c r="N834" i="3"/>
  <c r="N835" i="3"/>
  <c r="N836" i="3"/>
  <c r="N837" i="3"/>
  <c r="N842" i="3"/>
  <c r="P837" i="3"/>
  <c r="P834" i="3"/>
  <c r="P831" i="3"/>
  <c r="K826" i="3"/>
  <c r="C107" i="15"/>
  <c r="C108" i="15"/>
  <c r="B725" i="3"/>
  <c r="B726" i="3"/>
  <c r="B731" i="3"/>
  <c r="B730" i="3"/>
  <c r="B729" i="3"/>
  <c r="B728" i="3"/>
  <c r="B727" i="3"/>
  <c r="C34" i="15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E737" i="3"/>
  <c r="H737" i="3"/>
  <c r="E730" i="3"/>
  <c r="H730" i="3"/>
  <c r="E733" i="3"/>
  <c r="H733" i="3"/>
  <c r="E731" i="3"/>
  <c r="H731" i="3"/>
  <c r="E725" i="3"/>
  <c r="H725" i="3"/>
  <c r="E726" i="3"/>
  <c r="H726" i="3"/>
  <c r="E727" i="3"/>
  <c r="H727" i="3"/>
  <c r="E728" i="3"/>
  <c r="H728" i="3"/>
  <c r="E729" i="3"/>
  <c r="H729" i="3"/>
  <c r="E732" i="3"/>
  <c r="H732" i="3"/>
  <c r="E734" i="3"/>
  <c r="H734" i="3"/>
  <c r="E735" i="3"/>
  <c r="H735" i="3"/>
  <c r="E736" i="3"/>
  <c r="H736" i="3"/>
  <c r="C738" i="3"/>
  <c r="E738" i="3"/>
  <c r="H738" i="3"/>
  <c r="C739" i="3"/>
  <c r="E739" i="3"/>
  <c r="H739" i="3"/>
  <c r="C740" i="3"/>
  <c r="E740" i="3"/>
  <c r="H740" i="3"/>
  <c r="C741" i="3"/>
  <c r="E741" i="3"/>
  <c r="H741" i="3"/>
  <c r="C742" i="3"/>
  <c r="E742" i="3"/>
  <c r="H742" i="3"/>
  <c r="C743" i="3"/>
  <c r="E743" i="3"/>
  <c r="H743" i="3"/>
  <c r="C744" i="3"/>
  <c r="E744" i="3"/>
  <c r="H744" i="3"/>
  <c r="C745" i="3"/>
  <c r="E745" i="3"/>
  <c r="H745" i="3"/>
  <c r="C746" i="3"/>
  <c r="E746" i="3"/>
  <c r="H746" i="3"/>
  <c r="C747" i="3"/>
  <c r="E747" i="3"/>
  <c r="H747" i="3"/>
  <c r="C748" i="3"/>
  <c r="E748" i="3"/>
  <c r="H748" i="3"/>
  <c r="C749" i="3"/>
  <c r="E749" i="3"/>
  <c r="H749" i="3"/>
  <c r="D34" i="15"/>
  <c r="K725" i="3"/>
  <c r="C35" i="15"/>
  <c r="D35" i="15"/>
  <c r="K726" i="3"/>
  <c r="C36" i="15"/>
  <c r="D36" i="15"/>
  <c r="K727" i="3"/>
  <c r="C37" i="15"/>
  <c r="D37" i="15"/>
  <c r="K728" i="3"/>
  <c r="C38" i="15"/>
  <c r="D38" i="15"/>
  <c r="K729" i="3"/>
  <c r="C39" i="15"/>
  <c r="D39" i="15"/>
  <c r="K730" i="3"/>
  <c r="C40" i="15"/>
  <c r="D40" i="15"/>
  <c r="K731" i="3"/>
  <c r="C41" i="15"/>
  <c r="D41" i="15"/>
  <c r="K732" i="3"/>
  <c r="C42" i="15"/>
  <c r="D42" i="15"/>
  <c r="K733" i="3"/>
  <c r="C43" i="15"/>
  <c r="D43" i="15"/>
  <c r="K734" i="3"/>
  <c r="C44" i="15"/>
  <c r="D44" i="15"/>
  <c r="K735" i="3"/>
  <c r="C45" i="15"/>
  <c r="D45" i="15"/>
  <c r="K736" i="3"/>
  <c r="C46" i="15"/>
  <c r="D46" i="15"/>
  <c r="K737" i="3"/>
  <c r="C47" i="15"/>
  <c r="D47" i="15"/>
  <c r="K738" i="3"/>
  <c r="C48" i="15"/>
  <c r="D48" i="15"/>
  <c r="K739" i="3"/>
  <c r="C49" i="15"/>
  <c r="D49" i="15"/>
  <c r="K740" i="3"/>
  <c r="C50" i="15"/>
  <c r="D50" i="15"/>
  <c r="K741" i="3"/>
  <c r="C51" i="15"/>
  <c r="D51" i="15"/>
  <c r="K742" i="3"/>
  <c r="C52" i="15"/>
  <c r="D52" i="15"/>
  <c r="K743" i="3"/>
  <c r="C53" i="15"/>
  <c r="D53" i="15"/>
  <c r="K744" i="3"/>
  <c r="C54" i="15"/>
  <c r="D54" i="15"/>
  <c r="K745" i="3"/>
  <c r="C55" i="15"/>
  <c r="D55" i="15"/>
  <c r="K746" i="3"/>
  <c r="C56" i="15"/>
  <c r="D56" i="15"/>
  <c r="K747" i="3"/>
  <c r="C57" i="15"/>
  <c r="D57" i="15"/>
  <c r="K748" i="3"/>
  <c r="C58" i="15"/>
  <c r="D58" i="15"/>
  <c r="K749" i="3"/>
  <c r="C59" i="15"/>
  <c r="D59" i="15"/>
  <c r="K750" i="3"/>
  <c r="C60" i="15"/>
  <c r="D60" i="15"/>
  <c r="K751" i="3"/>
  <c r="C61" i="15"/>
  <c r="D61" i="15"/>
  <c r="K752" i="3"/>
  <c r="C62" i="15"/>
  <c r="D62" i="15"/>
  <c r="K753" i="3"/>
  <c r="C63" i="15"/>
  <c r="D63" i="15"/>
  <c r="K754" i="3"/>
  <c r="C64" i="15"/>
  <c r="D64" i="15"/>
  <c r="K755" i="3"/>
  <c r="C65" i="15"/>
  <c r="D65" i="15"/>
  <c r="K756" i="3"/>
  <c r="C66" i="15"/>
  <c r="D66" i="15"/>
  <c r="K757" i="3"/>
  <c r="C67" i="15"/>
  <c r="D67" i="15"/>
  <c r="K758" i="3"/>
  <c r="C68" i="15"/>
  <c r="D68" i="15"/>
  <c r="K759" i="3"/>
  <c r="C69" i="15"/>
  <c r="D69" i="15"/>
  <c r="K760" i="3"/>
  <c r="C70" i="15"/>
  <c r="D70" i="15"/>
  <c r="K761" i="3"/>
  <c r="C71" i="15"/>
  <c r="D71" i="15"/>
  <c r="K762" i="3"/>
  <c r="C72" i="15"/>
  <c r="D72" i="15"/>
  <c r="K763" i="3"/>
  <c r="C73" i="15"/>
  <c r="D73" i="15"/>
  <c r="K764" i="3"/>
  <c r="C74" i="15"/>
  <c r="D74" i="15"/>
  <c r="K765" i="3"/>
  <c r="C75" i="15"/>
  <c r="D75" i="15"/>
  <c r="K766" i="3"/>
  <c r="C76" i="15"/>
  <c r="D76" i="15"/>
  <c r="K767" i="3"/>
  <c r="C77" i="15"/>
  <c r="D77" i="15"/>
  <c r="K768" i="3"/>
  <c r="C78" i="15"/>
  <c r="D78" i="15"/>
  <c r="K769" i="3"/>
  <c r="C79" i="15"/>
  <c r="D79" i="15"/>
  <c r="K770" i="3"/>
  <c r="C80" i="15"/>
  <c r="D80" i="15"/>
  <c r="K771" i="3"/>
  <c r="C81" i="15"/>
  <c r="D81" i="15"/>
  <c r="K772" i="3"/>
  <c r="C82" i="15"/>
  <c r="D82" i="15"/>
  <c r="K773" i="3"/>
  <c r="C83" i="15"/>
  <c r="D83" i="15"/>
  <c r="K774" i="3"/>
  <c r="C84" i="15"/>
  <c r="D84" i="15"/>
  <c r="K775" i="3"/>
  <c r="C85" i="15"/>
  <c r="D85" i="15"/>
  <c r="K776" i="3"/>
  <c r="C86" i="15"/>
  <c r="D86" i="15"/>
  <c r="K777" i="3"/>
  <c r="C87" i="15"/>
  <c r="D87" i="15"/>
  <c r="K778" i="3"/>
  <c r="C88" i="15"/>
  <c r="D88" i="15"/>
  <c r="K779" i="3"/>
  <c r="C89" i="15"/>
  <c r="D89" i="15"/>
  <c r="K780" i="3"/>
  <c r="C90" i="15"/>
  <c r="D90" i="15"/>
  <c r="K781" i="3"/>
  <c r="C91" i="15"/>
  <c r="D91" i="15"/>
  <c r="K782" i="3"/>
  <c r="C92" i="15"/>
  <c r="D92" i="15"/>
  <c r="K783" i="3"/>
  <c r="C93" i="15"/>
  <c r="D93" i="15"/>
  <c r="K784" i="3"/>
  <c r="C94" i="15"/>
  <c r="D94" i="15"/>
  <c r="K785" i="3"/>
  <c r="C95" i="15"/>
  <c r="D95" i="15"/>
  <c r="K786" i="3"/>
  <c r="C96" i="15"/>
  <c r="D96" i="15"/>
  <c r="K787" i="3"/>
  <c r="C97" i="15"/>
  <c r="D97" i="15"/>
  <c r="K788" i="3"/>
  <c r="C98" i="15"/>
  <c r="D98" i="15"/>
  <c r="K789" i="3"/>
  <c r="C99" i="15"/>
  <c r="D99" i="15"/>
  <c r="K790" i="3"/>
  <c r="C100" i="15"/>
  <c r="D100" i="15"/>
  <c r="K791" i="3"/>
  <c r="C101" i="15"/>
  <c r="D101" i="15"/>
  <c r="K792" i="3"/>
  <c r="C102" i="15"/>
  <c r="D102" i="15"/>
  <c r="K793" i="3"/>
  <c r="C103" i="15"/>
  <c r="D103" i="15"/>
  <c r="K794" i="3"/>
  <c r="C104" i="15"/>
  <c r="D104" i="15"/>
  <c r="K795" i="3"/>
  <c r="C105" i="15"/>
  <c r="D105" i="15"/>
  <c r="K796" i="3"/>
  <c r="C106" i="15"/>
  <c r="D106" i="15"/>
  <c r="K797" i="3"/>
  <c r="D107" i="15"/>
  <c r="K798" i="3"/>
  <c r="D108" i="15"/>
  <c r="K799" i="3"/>
  <c r="C109" i="15"/>
  <c r="D109" i="15"/>
  <c r="K800" i="3"/>
  <c r="C110" i="15"/>
  <c r="D110" i="15"/>
  <c r="K801" i="3"/>
  <c r="C111" i="15"/>
  <c r="D111" i="15"/>
  <c r="K802" i="3"/>
  <c r="C112" i="15"/>
  <c r="D112" i="15"/>
  <c r="K803" i="3"/>
  <c r="C113" i="15"/>
  <c r="D113" i="15"/>
  <c r="K804" i="3"/>
  <c r="C114" i="15"/>
  <c r="D114" i="15"/>
  <c r="K805" i="3"/>
  <c r="C115" i="15"/>
  <c r="D115" i="15"/>
  <c r="K806" i="3"/>
  <c r="C116" i="15"/>
  <c r="D116" i="15"/>
  <c r="K807" i="3"/>
  <c r="C117" i="15"/>
  <c r="D117" i="15"/>
  <c r="K808" i="3"/>
  <c r="C118" i="15"/>
  <c r="D118" i="15"/>
  <c r="K809" i="3"/>
  <c r="C119" i="15"/>
  <c r="D119" i="15"/>
  <c r="K810" i="3"/>
  <c r="C120" i="15"/>
  <c r="D120" i="15"/>
  <c r="K811" i="3"/>
  <c r="C121" i="15"/>
  <c r="D121" i="15"/>
  <c r="K812" i="3"/>
  <c r="C122" i="15"/>
  <c r="D122" i="15"/>
  <c r="K813" i="3"/>
  <c r="C123" i="15"/>
  <c r="D123" i="15"/>
  <c r="K814" i="3"/>
  <c r="C124" i="15"/>
  <c r="D124" i="15"/>
  <c r="K815" i="3"/>
  <c r="C125" i="15"/>
  <c r="D125" i="15"/>
  <c r="K816" i="3"/>
  <c r="C126" i="15"/>
  <c r="D126" i="15"/>
  <c r="K817" i="3"/>
  <c r="C127" i="15"/>
  <c r="D127" i="15"/>
  <c r="K818" i="3"/>
  <c r="C128" i="15"/>
  <c r="D128" i="15"/>
  <c r="K819" i="3"/>
  <c r="C129" i="15"/>
  <c r="D129" i="15"/>
  <c r="K820" i="3"/>
  <c r="C130" i="15"/>
  <c r="D130" i="15"/>
  <c r="K821" i="3"/>
  <c r="C131" i="15"/>
  <c r="D131" i="15"/>
  <c r="K822" i="3"/>
  <c r="C132" i="15"/>
  <c r="D132" i="15"/>
  <c r="K823" i="3"/>
  <c r="C133" i="15"/>
  <c r="D133" i="15"/>
  <c r="K824" i="3"/>
  <c r="M726" i="3"/>
  <c r="M725" i="3"/>
  <c r="J7" i="16"/>
  <c r="J6" i="16"/>
  <c r="F133" i="16"/>
  <c r="F132" i="16"/>
  <c r="F131" i="16"/>
  <c r="F130" i="16"/>
  <c r="F129" i="16"/>
  <c r="F128" i="16"/>
  <c r="F127" i="16"/>
  <c r="F126" i="16"/>
  <c r="F125" i="16"/>
  <c r="F124" i="16"/>
  <c r="F123" i="16"/>
  <c r="F122" i="16"/>
  <c r="F121" i="16"/>
  <c r="F120" i="16"/>
  <c r="F119" i="16"/>
  <c r="F118" i="16"/>
  <c r="F117" i="16"/>
  <c r="F116" i="16"/>
  <c r="F115" i="16"/>
  <c r="F114" i="16"/>
  <c r="F113" i="16"/>
  <c r="F112" i="16"/>
  <c r="F111" i="16"/>
  <c r="F110" i="16"/>
  <c r="F109" i="16"/>
  <c r="F108" i="16"/>
  <c r="F107" i="16"/>
  <c r="F106" i="16"/>
  <c r="F105" i="16"/>
  <c r="F104" i="16"/>
  <c r="F103" i="16"/>
  <c r="F102" i="16"/>
  <c r="F101" i="16"/>
  <c r="F100" i="16"/>
  <c r="F99" i="16"/>
  <c r="F98" i="16"/>
  <c r="F97" i="16"/>
  <c r="F96" i="16"/>
  <c r="F95" i="16"/>
  <c r="F94" i="16"/>
  <c r="F93" i="16"/>
  <c r="F92" i="16"/>
  <c r="F91" i="16"/>
  <c r="F90" i="16"/>
  <c r="F89" i="16"/>
  <c r="F88" i="16"/>
  <c r="F87" i="16"/>
  <c r="F86" i="16"/>
  <c r="F85" i="16"/>
  <c r="F84" i="16"/>
  <c r="F83" i="16"/>
  <c r="F82" i="16"/>
  <c r="F81" i="16"/>
  <c r="F80" i="16"/>
  <c r="F79" i="16"/>
  <c r="F78" i="16"/>
  <c r="F77" i="16"/>
  <c r="F76" i="16"/>
  <c r="F75" i="16"/>
  <c r="F74" i="16"/>
  <c r="F73" i="16"/>
  <c r="F72" i="16"/>
  <c r="F71" i="16"/>
  <c r="F70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G45" i="16"/>
  <c r="F45" i="16"/>
  <c r="F44" i="16"/>
  <c r="F43" i="16"/>
  <c r="G42" i="16"/>
  <c r="F42" i="16"/>
  <c r="F41" i="16"/>
  <c r="F40" i="16"/>
  <c r="G39" i="16"/>
  <c r="F39" i="16"/>
  <c r="F38" i="16"/>
  <c r="F37" i="16"/>
  <c r="F34" i="16"/>
  <c r="F35" i="16"/>
  <c r="F36" i="16"/>
  <c r="G36" i="16"/>
  <c r="G31" i="16"/>
  <c r="D31" i="16"/>
  <c r="A15" i="16"/>
  <c r="J5" i="16"/>
  <c r="C18" i="14"/>
  <c r="C17" i="14"/>
  <c r="C16" i="14"/>
  <c r="C15" i="14"/>
  <c r="C19" i="15"/>
  <c r="C18" i="15"/>
  <c r="C17" i="15"/>
  <c r="C19" i="8"/>
  <c r="C18" i="8"/>
  <c r="C17" i="8"/>
  <c r="C18" i="1"/>
  <c r="C17" i="1"/>
  <c r="C15" i="1"/>
  <c r="C18" i="7"/>
  <c r="C17" i="7"/>
  <c r="C15" i="7"/>
  <c r="C18" i="9"/>
  <c r="C17" i="9"/>
  <c r="C15" i="9"/>
  <c r="C18" i="10"/>
  <c r="C17" i="10"/>
  <c r="C15" i="10"/>
  <c r="C18" i="6"/>
  <c r="C17" i="6"/>
  <c r="C15" i="6"/>
  <c r="G5" i="9"/>
  <c r="D19" i="15"/>
  <c r="D18" i="15"/>
  <c r="D5" i="15"/>
  <c r="C34" i="8"/>
  <c r="B312" i="3"/>
  <c r="B317" i="3"/>
  <c r="B316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E324" i="3"/>
  <c r="H324" i="3"/>
  <c r="E317" i="3"/>
  <c r="H317" i="3"/>
  <c r="E314" i="3"/>
  <c r="H314" i="3"/>
  <c r="E315" i="3"/>
  <c r="H315" i="3"/>
  <c r="E312" i="3"/>
  <c r="H312" i="3"/>
  <c r="E313" i="3"/>
  <c r="H313" i="3"/>
  <c r="E316" i="3"/>
  <c r="H316" i="3"/>
  <c r="E318" i="3"/>
  <c r="H318" i="3"/>
  <c r="E319" i="3"/>
  <c r="H319" i="3"/>
  <c r="E320" i="3"/>
  <c r="H320" i="3"/>
  <c r="E321" i="3"/>
  <c r="H321" i="3"/>
  <c r="E322" i="3"/>
  <c r="H322" i="3"/>
  <c r="E323" i="3"/>
  <c r="H323" i="3"/>
  <c r="C325" i="3"/>
  <c r="E325" i="3"/>
  <c r="H325" i="3"/>
  <c r="C326" i="3"/>
  <c r="E326" i="3"/>
  <c r="H326" i="3"/>
  <c r="C327" i="3"/>
  <c r="E327" i="3"/>
  <c r="H327" i="3"/>
  <c r="C328" i="3"/>
  <c r="E328" i="3"/>
  <c r="H328" i="3"/>
  <c r="C329" i="3"/>
  <c r="E329" i="3"/>
  <c r="H329" i="3"/>
  <c r="C330" i="3"/>
  <c r="E330" i="3"/>
  <c r="H330" i="3"/>
  <c r="C331" i="3"/>
  <c r="E331" i="3"/>
  <c r="H331" i="3"/>
  <c r="C332" i="3"/>
  <c r="E332" i="3"/>
  <c r="H332" i="3"/>
  <c r="C333" i="3"/>
  <c r="E333" i="3"/>
  <c r="H333" i="3"/>
  <c r="C334" i="3"/>
  <c r="E334" i="3"/>
  <c r="H334" i="3"/>
  <c r="C335" i="3"/>
  <c r="E335" i="3"/>
  <c r="H335" i="3"/>
  <c r="C336" i="3"/>
  <c r="E336" i="3"/>
  <c r="H336" i="3"/>
  <c r="D34" i="8"/>
  <c r="C35" i="8"/>
  <c r="D35" i="8"/>
  <c r="C36" i="8"/>
  <c r="D36" i="8"/>
  <c r="C37" i="8"/>
  <c r="D37" i="8"/>
  <c r="C38" i="8"/>
  <c r="D38" i="8"/>
  <c r="C39" i="8"/>
  <c r="D39" i="8"/>
  <c r="C40" i="8"/>
  <c r="D40" i="8"/>
  <c r="C41" i="8"/>
  <c r="D41" i="8"/>
  <c r="C42" i="8"/>
  <c r="D42" i="8"/>
  <c r="C43" i="8"/>
  <c r="D43" i="8"/>
  <c r="C44" i="8"/>
  <c r="D44" i="8"/>
  <c r="C45" i="8"/>
  <c r="D45" i="8"/>
  <c r="C46" i="8"/>
  <c r="D46" i="8"/>
  <c r="C47" i="8"/>
  <c r="D47" i="8"/>
  <c r="C48" i="8"/>
  <c r="D48" i="8"/>
  <c r="C49" i="8"/>
  <c r="D49" i="8"/>
  <c r="C50" i="8"/>
  <c r="D50" i="8"/>
  <c r="C51" i="8"/>
  <c r="D51" i="8"/>
  <c r="C52" i="8"/>
  <c r="D52" i="8"/>
  <c r="C53" i="8"/>
  <c r="D53" i="8"/>
  <c r="C54" i="8"/>
  <c r="D54" i="8"/>
  <c r="C55" i="8"/>
  <c r="D55" i="8"/>
  <c r="C56" i="8"/>
  <c r="D56" i="8"/>
  <c r="C57" i="8"/>
  <c r="D57" i="8"/>
  <c r="C58" i="8"/>
  <c r="D58" i="8"/>
  <c r="C59" i="8"/>
  <c r="D59" i="8"/>
  <c r="C60" i="8"/>
  <c r="D60" i="8"/>
  <c r="C61" i="8"/>
  <c r="D61" i="8"/>
  <c r="C62" i="8"/>
  <c r="D62" i="8"/>
  <c r="C63" i="8"/>
  <c r="D63" i="8"/>
  <c r="C64" i="8"/>
  <c r="D64" i="8"/>
  <c r="C65" i="8"/>
  <c r="D65" i="8"/>
  <c r="C66" i="8"/>
  <c r="D66" i="8"/>
  <c r="C67" i="8"/>
  <c r="D67" i="8"/>
  <c r="C68" i="8"/>
  <c r="D68" i="8"/>
  <c r="C69" i="8"/>
  <c r="D69" i="8"/>
  <c r="C70" i="8"/>
  <c r="D70" i="8"/>
  <c r="C71" i="8"/>
  <c r="D71" i="8"/>
  <c r="C72" i="8"/>
  <c r="D72" i="8"/>
  <c r="C73" i="8"/>
  <c r="D73" i="8"/>
  <c r="C74" i="8"/>
  <c r="D74" i="8"/>
  <c r="C75" i="8"/>
  <c r="D75" i="8"/>
  <c r="C76" i="8"/>
  <c r="D76" i="8"/>
  <c r="C77" i="8"/>
  <c r="D77" i="8"/>
  <c r="C78" i="8"/>
  <c r="D78" i="8"/>
  <c r="C79" i="8"/>
  <c r="D79" i="8"/>
  <c r="C80" i="8"/>
  <c r="D80" i="8"/>
  <c r="C81" i="8"/>
  <c r="D81" i="8"/>
  <c r="C82" i="8"/>
  <c r="D82" i="8"/>
  <c r="C83" i="8"/>
  <c r="D83" i="8"/>
  <c r="C84" i="8"/>
  <c r="D84" i="8"/>
  <c r="C85" i="8"/>
  <c r="D85" i="8"/>
  <c r="C86" i="8"/>
  <c r="D86" i="8"/>
  <c r="C87" i="8"/>
  <c r="D87" i="8"/>
  <c r="C88" i="8"/>
  <c r="D88" i="8"/>
  <c r="C89" i="8"/>
  <c r="D89" i="8"/>
  <c r="C90" i="8"/>
  <c r="D90" i="8"/>
  <c r="C91" i="8"/>
  <c r="D91" i="8"/>
  <c r="C92" i="8"/>
  <c r="D92" i="8"/>
  <c r="C93" i="8"/>
  <c r="D93" i="8"/>
  <c r="C94" i="8"/>
  <c r="D94" i="8"/>
  <c r="C95" i="8"/>
  <c r="D95" i="8"/>
  <c r="C96" i="8"/>
  <c r="D96" i="8"/>
  <c r="C97" i="8"/>
  <c r="D97" i="8"/>
  <c r="C98" i="8"/>
  <c r="D98" i="8"/>
  <c r="C99" i="8"/>
  <c r="D99" i="8"/>
  <c r="C100" i="8"/>
  <c r="D100" i="8"/>
  <c r="C101" i="8"/>
  <c r="D101" i="8"/>
  <c r="C102" i="8"/>
  <c r="D102" i="8"/>
  <c r="C103" i="8"/>
  <c r="D103" i="8"/>
  <c r="C104" i="8"/>
  <c r="D104" i="8"/>
  <c r="C105" i="8"/>
  <c r="D105" i="8"/>
  <c r="C106" i="8"/>
  <c r="D106" i="8"/>
  <c r="C107" i="8"/>
  <c r="D107" i="8"/>
  <c r="C108" i="8"/>
  <c r="D108" i="8"/>
  <c r="C109" i="8"/>
  <c r="D109" i="8"/>
  <c r="C110" i="8"/>
  <c r="D110" i="8"/>
  <c r="C111" i="8"/>
  <c r="D111" i="8"/>
  <c r="C112" i="8"/>
  <c r="D112" i="8"/>
  <c r="C113" i="8"/>
  <c r="D113" i="8"/>
  <c r="C114" i="8"/>
  <c r="D114" i="8"/>
  <c r="C115" i="8"/>
  <c r="D115" i="8"/>
  <c r="C116" i="8"/>
  <c r="D116" i="8"/>
  <c r="C117" i="8"/>
  <c r="D117" i="8"/>
  <c r="C118" i="8"/>
  <c r="D118" i="8"/>
  <c r="C119" i="8"/>
  <c r="D119" i="8"/>
  <c r="C120" i="8"/>
  <c r="D120" i="8"/>
  <c r="C121" i="8"/>
  <c r="D121" i="8"/>
  <c r="C122" i="8"/>
  <c r="D122" i="8"/>
  <c r="C123" i="8"/>
  <c r="D123" i="8"/>
  <c r="C124" i="8"/>
  <c r="D124" i="8"/>
  <c r="C125" i="8"/>
  <c r="D125" i="8"/>
  <c r="C126" i="8"/>
  <c r="D126" i="8"/>
  <c r="C127" i="8"/>
  <c r="D127" i="8"/>
  <c r="C128" i="8"/>
  <c r="D128" i="8"/>
  <c r="C129" i="8"/>
  <c r="D129" i="8"/>
  <c r="C130" i="8"/>
  <c r="D130" i="8"/>
  <c r="C131" i="8"/>
  <c r="D131" i="8"/>
  <c r="C132" i="8"/>
  <c r="D132" i="8"/>
  <c r="C133" i="8"/>
  <c r="D133" i="8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M312" i="3"/>
  <c r="M316" i="3"/>
  <c r="M313" i="3"/>
  <c r="M317" i="3"/>
  <c r="M318" i="3"/>
  <c r="M319" i="3"/>
  <c r="P320" i="3"/>
  <c r="O317" i="3"/>
  <c r="O318" i="3"/>
  <c r="M320" i="3"/>
  <c r="O319" i="3"/>
  <c r="M321" i="3"/>
  <c r="O320" i="3"/>
  <c r="M322" i="3"/>
  <c r="O321" i="3"/>
  <c r="M323" i="3"/>
  <c r="O322" i="3"/>
  <c r="M324" i="3"/>
  <c r="O323" i="3"/>
  <c r="M325" i="3"/>
  <c r="O324" i="3"/>
  <c r="O316" i="3"/>
  <c r="C33" i="9"/>
  <c r="D33" i="9"/>
  <c r="K419" i="3"/>
  <c r="C34" i="9"/>
  <c r="D34" i="9"/>
  <c r="K420" i="3"/>
  <c r="C35" i="9"/>
  <c r="D35" i="9"/>
  <c r="K421" i="3"/>
  <c r="C36" i="9"/>
  <c r="D36" i="9"/>
  <c r="K422" i="3"/>
  <c r="C37" i="9"/>
  <c r="D37" i="9"/>
  <c r="K423" i="3"/>
  <c r="C38" i="9"/>
  <c r="D38" i="9"/>
  <c r="K424" i="3"/>
  <c r="C39" i="9"/>
  <c r="D39" i="9"/>
  <c r="K425" i="3"/>
  <c r="C40" i="9"/>
  <c r="D40" i="9"/>
  <c r="K426" i="3"/>
  <c r="C41" i="9"/>
  <c r="D41" i="9"/>
  <c r="K427" i="3"/>
  <c r="C42" i="9"/>
  <c r="D42" i="9"/>
  <c r="K428" i="3"/>
  <c r="C43" i="9"/>
  <c r="D43" i="9"/>
  <c r="K429" i="3"/>
  <c r="C44" i="9"/>
  <c r="D44" i="9"/>
  <c r="K430" i="3"/>
  <c r="C45" i="9"/>
  <c r="D45" i="9"/>
  <c r="K431" i="3"/>
  <c r="C46" i="9"/>
  <c r="D46" i="9"/>
  <c r="K432" i="3"/>
  <c r="C47" i="9"/>
  <c r="D47" i="9"/>
  <c r="K433" i="3"/>
  <c r="C48" i="9"/>
  <c r="D48" i="9"/>
  <c r="K434" i="3"/>
  <c r="C49" i="9"/>
  <c r="D49" i="9"/>
  <c r="K435" i="3"/>
  <c r="C50" i="9"/>
  <c r="D50" i="9"/>
  <c r="K436" i="3"/>
  <c r="C51" i="9"/>
  <c r="D51" i="9"/>
  <c r="K437" i="3"/>
  <c r="C52" i="9"/>
  <c r="D52" i="9"/>
  <c r="K438" i="3"/>
  <c r="C53" i="9"/>
  <c r="D53" i="9"/>
  <c r="K439" i="3"/>
  <c r="C54" i="9"/>
  <c r="D54" i="9"/>
  <c r="K440" i="3"/>
  <c r="C55" i="9"/>
  <c r="D55" i="9"/>
  <c r="K441" i="3"/>
  <c r="C56" i="9"/>
  <c r="D56" i="9"/>
  <c r="K442" i="3"/>
  <c r="C57" i="9"/>
  <c r="D57" i="9"/>
  <c r="K443" i="3"/>
  <c r="C58" i="9"/>
  <c r="D58" i="9"/>
  <c r="K444" i="3"/>
  <c r="C59" i="9"/>
  <c r="D59" i="9"/>
  <c r="K445" i="3"/>
  <c r="C60" i="9"/>
  <c r="D60" i="9"/>
  <c r="K446" i="3"/>
  <c r="C61" i="9"/>
  <c r="D61" i="9"/>
  <c r="K447" i="3"/>
  <c r="C62" i="9"/>
  <c r="D62" i="9"/>
  <c r="K448" i="3"/>
  <c r="C63" i="9"/>
  <c r="D63" i="9"/>
  <c r="K449" i="3"/>
  <c r="C64" i="9"/>
  <c r="D64" i="9"/>
  <c r="K450" i="3"/>
  <c r="C65" i="9"/>
  <c r="D65" i="9"/>
  <c r="K451" i="3"/>
  <c r="C66" i="9"/>
  <c r="D66" i="9"/>
  <c r="K452" i="3"/>
  <c r="C67" i="9"/>
  <c r="D67" i="9"/>
  <c r="K453" i="3"/>
  <c r="C68" i="9"/>
  <c r="D68" i="9"/>
  <c r="K454" i="3"/>
  <c r="C69" i="9"/>
  <c r="D69" i="9"/>
  <c r="K455" i="3"/>
  <c r="C70" i="9"/>
  <c r="D70" i="9"/>
  <c r="K456" i="3"/>
  <c r="C71" i="9"/>
  <c r="D71" i="9"/>
  <c r="K457" i="3"/>
  <c r="C72" i="9"/>
  <c r="D72" i="9"/>
  <c r="K458" i="3"/>
  <c r="C73" i="9"/>
  <c r="D73" i="9"/>
  <c r="K459" i="3"/>
  <c r="C74" i="9"/>
  <c r="D74" i="9"/>
  <c r="K460" i="3"/>
  <c r="C75" i="9"/>
  <c r="D75" i="9"/>
  <c r="K461" i="3"/>
  <c r="C76" i="9"/>
  <c r="D76" i="9"/>
  <c r="K462" i="3"/>
  <c r="C77" i="9"/>
  <c r="D77" i="9"/>
  <c r="K463" i="3"/>
  <c r="C78" i="9"/>
  <c r="D78" i="9"/>
  <c r="K464" i="3"/>
  <c r="C79" i="9"/>
  <c r="D79" i="9"/>
  <c r="K465" i="3"/>
  <c r="C80" i="9"/>
  <c r="D80" i="9"/>
  <c r="K466" i="3"/>
  <c r="C81" i="9"/>
  <c r="D81" i="9"/>
  <c r="K467" i="3"/>
  <c r="C82" i="9"/>
  <c r="D82" i="9"/>
  <c r="K468" i="3"/>
  <c r="C83" i="9"/>
  <c r="D83" i="9"/>
  <c r="K469" i="3"/>
  <c r="C84" i="9"/>
  <c r="D84" i="9"/>
  <c r="K470" i="3"/>
  <c r="C85" i="9"/>
  <c r="D85" i="9"/>
  <c r="K471" i="3"/>
  <c r="C86" i="9"/>
  <c r="D86" i="9"/>
  <c r="K472" i="3"/>
  <c r="C87" i="9"/>
  <c r="D87" i="9"/>
  <c r="K473" i="3"/>
  <c r="C88" i="9"/>
  <c r="D88" i="9"/>
  <c r="K474" i="3"/>
  <c r="C89" i="9"/>
  <c r="D89" i="9"/>
  <c r="K475" i="3"/>
  <c r="C90" i="9"/>
  <c r="D90" i="9"/>
  <c r="K476" i="3"/>
  <c r="C91" i="9"/>
  <c r="D91" i="9"/>
  <c r="K477" i="3"/>
  <c r="C92" i="9"/>
  <c r="D92" i="9"/>
  <c r="K478" i="3"/>
  <c r="C93" i="9"/>
  <c r="D93" i="9"/>
  <c r="K479" i="3"/>
  <c r="C94" i="9"/>
  <c r="D94" i="9"/>
  <c r="K480" i="3"/>
  <c r="C95" i="9"/>
  <c r="D95" i="9"/>
  <c r="K481" i="3"/>
  <c r="C96" i="9"/>
  <c r="D96" i="9"/>
  <c r="K482" i="3"/>
  <c r="C97" i="9"/>
  <c r="D97" i="9"/>
  <c r="K483" i="3"/>
  <c r="C98" i="9"/>
  <c r="D98" i="9"/>
  <c r="K484" i="3"/>
  <c r="C99" i="9"/>
  <c r="D99" i="9"/>
  <c r="K485" i="3"/>
  <c r="C100" i="9"/>
  <c r="D100" i="9"/>
  <c r="K486" i="3"/>
  <c r="C101" i="9"/>
  <c r="D101" i="9"/>
  <c r="K487" i="3"/>
  <c r="C102" i="9"/>
  <c r="D102" i="9"/>
  <c r="K488" i="3"/>
  <c r="C103" i="9"/>
  <c r="D103" i="9"/>
  <c r="K489" i="3"/>
  <c r="C104" i="9"/>
  <c r="D104" i="9"/>
  <c r="K490" i="3"/>
  <c r="C105" i="9"/>
  <c r="D105" i="9"/>
  <c r="K491" i="3"/>
  <c r="C106" i="9"/>
  <c r="D106" i="9"/>
  <c r="K492" i="3"/>
  <c r="C107" i="9"/>
  <c r="D107" i="9"/>
  <c r="K493" i="3"/>
  <c r="C108" i="9"/>
  <c r="D108" i="9"/>
  <c r="K494" i="3"/>
  <c r="C109" i="9"/>
  <c r="D109" i="9"/>
  <c r="K495" i="3"/>
  <c r="C110" i="9"/>
  <c r="D110" i="9"/>
  <c r="K496" i="3"/>
  <c r="C111" i="9"/>
  <c r="D111" i="9"/>
  <c r="K497" i="3"/>
  <c r="C112" i="9"/>
  <c r="D112" i="9"/>
  <c r="K498" i="3"/>
  <c r="C113" i="9"/>
  <c r="D113" i="9"/>
  <c r="K499" i="3"/>
  <c r="C114" i="9"/>
  <c r="D114" i="9"/>
  <c r="K500" i="3"/>
  <c r="C115" i="9"/>
  <c r="D115" i="9"/>
  <c r="K501" i="3"/>
  <c r="C116" i="9"/>
  <c r="D116" i="9"/>
  <c r="K502" i="3"/>
  <c r="C117" i="9"/>
  <c r="D117" i="9"/>
  <c r="K503" i="3"/>
  <c r="C118" i="9"/>
  <c r="D118" i="9"/>
  <c r="K504" i="3"/>
  <c r="C119" i="9"/>
  <c r="D119" i="9"/>
  <c r="K505" i="3"/>
  <c r="C120" i="9"/>
  <c r="D120" i="9"/>
  <c r="K506" i="3"/>
  <c r="C121" i="9"/>
  <c r="D121" i="9"/>
  <c r="K507" i="3"/>
  <c r="C122" i="9"/>
  <c r="D122" i="9"/>
  <c r="K508" i="3"/>
  <c r="C123" i="9"/>
  <c r="D123" i="9"/>
  <c r="K509" i="3"/>
  <c r="C124" i="9"/>
  <c r="D124" i="9"/>
  <c r="K510" i="3"/>
  <c r="C125" i="9"/>
  <c r="D125" i="9"/>
  <c r="K511" i="3"/>
  <c r="C126" i="9"/>
  <c r="D126" i="9"/>
  <c r="K512" i="3"/>
  <c r="C127" i="9"/>
  <c r="D127" i="9"/>
  <c r="K513" i="3"/>
  <c r="C128" i="9"/>
  <c r="D128" i="9"/>
  <c r="K514" i="3"/>
  <c r="C129" i="9"/>
  <c r="D129" i="9"/>
  <c r="K515" i="3"/>
  <c r="C130" i="9"/>
  <c r="D130" i="9"/>
  <c r="K516" i="3"/>
  <c r="C131" i="9"/>
  <c r="D131" i="9"/>
  <c r="K517" i="3"/>
  <c r="C132" i="9"/>
  <c r="D132" i="9"/>
  <c r="K518" i="3"/>
  <c r="C34" i="10"/>
  <c r="D34" i="10"/>
  <c r="K521" i="3"/>
  <c r="C35" i="10"/>
  <c r="D35" i="10"/>
  <c r="K522" i="3"/>
  <c r="C36" i="10"/>
  <c r="D36" i="10"/>
  <c r="K523" i="3"/>
  <c r="C37" i="10"/>
  <c r="D37" i="10"/>
  <c r="K524" i="3"/>
  <c r="C38" i="10"/>
  <c r="D38" i="10"/>
  <c r="K525" i="3"/>
  <c r="C39" i="10"/>
  <c r="D39" i="10"/>
  <c r="K526" i="3"/>
  <c r="C40" i="10"/>
  <c r="D40" i="10"/>
  <c r="K527" i="3"/>
  <c r="C41" i="10"/>
  <c r="D41" i="10"/>
  <c r="K528" i="3"/>
  <c r="C42" i="10"/>
  <c r="D42" i="10"/>
  <c r="K529" i="3"/>
  <c r="C43" i="10"/>
  <c r="D43" i="10"/>
  <c r="K530" i="3"/>
  <c r="C44" i="10"/>
  <c r="D44" i="10"/>
  <c r="K531" i="3"/>
  <c r="C45" i="10"/>
  <c r="D45" i="10"/>
  <c r="K532" i="3"/>
  <c r="C46" i="10"/>
  <c r="D46" i="10"/>
  <c r="K533" i="3"/>
  <c r="C47" i="10"/>
  <c r="D47" i="10"/>
  <c r="K534" i="3"/>
  <c r="C48" i="10"/>
  <c r="D48" i="10"/>
  <c r="K535" i="3"/>
  <c r="C49" i="10"/>
  <c r="D49" i="10"/>
  <c r="K536" i="3"/>
  <c r="C50" i="10"/>
  <c r="D50" i="10"/>
  <c r="K537" i="3"/>
  <c r="C51" i="10"/>
  <c r="D51" i="10"/>
  <c r="K538" i="3"/>
  <c r="C52" i="10"/>
  <c r="D52" i="10"/>
  <c r="K539" i="3"/>
  <c r="C53" i="10"/>
  <c r="D53" i="10"/>
  <c r="K540" i="3"/>
  <c r="C54" i="10"/>
  <c r="D54" i="10"/>
  <c r="K541" i="3"/>
  <c r="C55" i="10"/>
  <c r="D55" i="10"/>
  <c r="K542" i="3"/>
  <c r="C56" i="10"/>
  <c r="D56" i="10"/>
  <c r="K543" i="3"/>
  <c r="C57" i="10"/>
  <c r="D57" i="10"/>
  <c r="K544" i="3"/>
  <c r="C58" i="10"/>
  <c r="D58" i="10"/>
  <c r="K545" i="3"/>
  <c r="C59" i="10"/>
  <c r="D59" i="10"/>
  <c r="K546" i="3"/>
  <c r="C60" i="10"/>
  <c r="D60" i="10"/>
  <c r="K547" i="3"/>
  <c r="C61" i="10"/>
  <c r="D61" i="10"/>
  <c r="K548" i="3"/>
  <c r="C62" i="10"/>
  <c r="D62" i="10"/>
  <c r="K549" i="3"/>
  <c r="C63" i="10"/>
  <c r="D63" i="10"/>
  <c r="K550" i="3"/>
  <c r="C64" i="10"/>
  <c r="D64" i="10"/>
  <c r="K551" i="3"/>
  <c r="C65" i="10"/>
  <c r="D65" i="10"/>
  <c r="K552" i="3"/>
  <c r="C66" i="10"/>
  <c r="D66" i="10"/>
  <c r="K553" i="3"/>
  <c r="C67" i="10"/>
  <c r="D67" i="10"/>
  <c r="K554" i="3"/>
  <c r="C68" i="10"/>
  <c r="D68" i="10"/>
  <c r="K555" i="3"/>
  <c r="C69" i="10"/>
  <c r="D69" i="10"/>
  <c r="K556" i="3"/>
  <c r="C70" i="10"/>
  <c r="D70" i="10"/>
  <c r="K557" i="3"/>
  <c r="C71" i="10"/>
  <c r="D71" i="10"/>
  <c r="K558" i="3"/>
  <c r="C72" i="10"/>
  <c r="D72" i="10"/>
  <c r="K559" i="3"/>
  <c r="C73" i="10"/>
  <c r="D73" i="10"/>
  <c r="K560" i="3"/>
  <c r="C74" i="10"/>
  <c r="D74" i="10"/>
  <c r="K561" i="3"/>
  <c r="C75" i="10"/>
  <c r="D75" i="10"/>
  <c r="K562" i="3"/>
  <c r="C76" i="10"/>
  <c r="D76" i="10"/>
  <c r="K563" i="3"/>
  <c r="C77" i="10"/>
  <c r="D77" i="10"/>
  <c r="K564" i="3"/>
  <c r="C78" i="10"/>
  <c r="D78" i="10"/>
  <c r="K565" i="3"/>
  <c r="C79" i="10"/>
  <c r="D79" i="10"/>
  <c r="K566" i="3"/>
  <c r="C80" i="10"/>
  <c r="D80" i="10"/>
  <c r="K567" i="3"/>
  <c r="C81" i="10"/>
  <c r="D81" i="10"/>
  <c r="K568" i="3"/>
  <c r="C82" i="10"/>
  <c r="D82" i="10"/>
  <c r="K569" i="3"/>
  <c r="C83" i="10"/>
  <c r="D83" i="10"/>
  <c r="K570" i="3"/>
  <c r="C84" i="10"/>
  <c r="D84" i="10"/>
  <c r="K571" i="3"/>
  <c r="C85" i="10"/>
  <c r="D85" i="10"/>
  <c r="K572" i="3"/>
  <c r="C86" i="10"/>
  <c r="D86" i="10"/>
  <c r="K573" i="3"/>
  <c r="C87" i="10"/>
  <c r="D87" i="10"/>
  <c r="K574" i="3"/>
  <c r="C88" i="10"/>
  <c r="D88" i="10"/>
  <c r="K575" i="3"/>
  <c r="C89" i="10"/>
  <c r="D89" i="10"/>
  <c r="K576" i="3"/>
  <c r="C90" i="10"/>
  <c r="D90" i="10"/>
  <c r="K577" i="3"/>
  <c r="C91" i="10"/>
  <c r="D91" i="10"/>
  <c r="K578" i="3"/>
  <c r="C92" i="10"/>
  <c r="D92" i="10"/>
  <c r="K579" i="3"/>
  <c r="C93" i="10"/>
  <c r="D93" i="10"/>
  <c r="K580" i="3"/>
  <c r="C94" i="10"/>
  <c r="D94" i="10"/>
  <c r="K581" i="3"/>
  <c r="C95" i="10"/>
  <c r="D95" i="10"/>
  <c r="K582" i="3"/>
  <c r="C96" i="10"/>
  <c r="D96" i="10"/>
  <c r="K583" i="3"/>
  <c r="C97" i="10"/>
  <c r="D97" i="10"/>
  <c r="K584" i="3"/>
  <c r="C98" i="10"/>
  <c r="D98" i="10"/>
  <c r="K585" i="3"/>
  <c r="C99" i="10"/>
  <c r="D99" i="10"/>
  <c r="K586" i="3"/>
  <c r="C100" i="10"/>
  <c r="D100" i="10"/>
  <c r="K587" i="3"/>
  <c r="C101" i="10"/>
  <c r="D101" i="10"/>
  <c r="K588" i="3"/>
  <c r="C102" i="10"/>
  <c r="D102" i="10"/>
  <c r="K589" i="3"/>
  <c r="C103" i="10"/>
  <c r="D103" i="10"/>
  <c r="K590" i="3"/>
  <c r="C104" i="10"/>
  <c r="D104" i="10"/>
  <c r="K591" i="3"/>
  <c r="C105" i="10"/>
  <c r="D105" i="10"/>
  <c r="K592" i="3"/>
  <c r="C106" i="10"/>
  <c r="D106" i="10"/>
  <c r="K593" i="3"/>
  <c r="C107" i="10"/>
  <c r="D107" i="10"/>
  <c r="K594" i="3"/>
  <c r="C108" i="10"/>
  <c r="D108" i="10"/>
  <c r="K595" i="3"/>
  <c r="C109" i="10"/>
  <c r="D109" i="10"/>
  <c r="K596" i="3"/>
  <c r="C110" i="10"/>
  <c r="D110" i="10"/>
  <c r="K597" i="3"/>
  <c r="C111" i="10"/>
  <c r="D111" i="10"/>
  <c r="K598" i="3"/>
  <c r="C112" i="10"/>
  <c r="D112" i="10"/>
  <c r="K599" i="3"/>
  <c r="C113" i="10"/>
  <c r="D113" i="10"/>
  <c r="K600" i="3"/>
  <c r="C114" i="10"/>
  <c r="D114" i="10"/>
  <c r="K601" i="3"/>
  <c r="C115" i="10"/>
  <c r="D115" i="10"/>
  <c r="K602" i="3"/>
  <c r="C116" i="10"/>
  <c r="D116" i="10"/>
  <c r="K603" i="3"/>
  <c r="C117" i="10"/>
  <c r="D117" i="10"/>
  <c r="K604" i="3"/>
  <c r="C118" i="10"/>
  <c r="D118" i="10"/>
  <c r="K605" i="3"/>
  <c r="C119" i="10"/>
  <c r="D119" i="10"/>
  <c r="K606" i="3"/>
  <c r="C120" i="10"/>
  <c r="D120" i="10"/>
  <c r="K607" i="3"/>
  <c r="C121" i="10"/>
  <c r="D121" i="10"/>
  <c r="K608" i="3"/>
  <c r="C122" i="10"/>
  <c r="D122" i="10"/>
  <c r="K609" i="3"/>
  <c r="C123" i="10"/>
  <c r="D123" i="10"/>
  <c r="K610" i="3"/>
  <c r="C124" i="10"/>
  <c r="D124" i="10"/>
  <c r="K611" i="3"/>
  <c r="C125" i="10"/>
  <c r="D125" i="10"/>
  <c r="K612" i="3"/>
  <c r="C126" i="10"/>
  <c r="D126" i="10"/>
  <c r="K613" i="3"/>
  <c r="C127" i="10"/>
  <c r="D127" i="10"/>
  <c r="K614" i="3"/>
  <c r="C128" i="10"/>
  <c r="D128" i="10"/>
  <c r="K615" i="3"/>
  <c r="C129" i="10"/>
  <c r="D129" i="10"/>
  <c r="K616" i="3"/>
  <c r="C130" i="10"/>
  <c r="D130" i="10"/>
  <c r="K617" i="3"/>
  <c r="C131" i="10"/>
  <c r="D131" i="10"/>
  <c r="K618" i="3"/>
  <c r="C132" i="10"/>
  <c r="D132" i="10"/>
  <c r="K619" i="3"/>
  <c r="C133" i="10"/>
  <c r="D133" i="10"/>
  <c r="K620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25" i="3"/>
  <c r="F726" i="3"/>
  <c r="G726" i="3"/>
  <c r="F727" i="3"/>
  <c r="G727" i="3"/>
  <c r="F728" i="3"/>
  <c r="G728" i="3"/>
  <c r="F729" i="3"/>
  <c r="G729" i="3"/>
  <c r="F730" i="3"/>
  <c r="G730" i="3"/>
  <c r="F731" i="3"/>
  <c r="G731" i="3"/>
  <c r="F732" i="3"/>
  <c r="G732" i="3"/>
  <c r="F733" i="3"/>
  <c r="G733" i="3"/>
  <c r="F734" i="3"/>
  <c r="G734" i="3"/>
  <c r="F735" i="3"/>
  <c r="G735" i="3"/>
  <c r="F736" i="3"/>
  <c r="G736" i="3"/>
  <c r="F737" i="3"/>
  <c r="G737" i="3"/>
  <c r="F738" i="3"/>
  <c r="G738" i="3"/>
  <c r="F739" i="3"/>
  <c r="G739" i="3"/>
  <c r="F740" i="3"/>
  <c r="G740" i="3"/>
  <c r="F741" i="3"/>
  <c r="G741" i="3"/>
  <c r="F742" i="3"/>
  <c r="G742" i="3"/>
  <c r="F743" i="3"/>
  <c r="G743" i="3"/>
  <c r="F744" i="3"/>
  <c r="G744" i="3"/>
  <c r="F745" i="3"/>
  <c r="G745" i="3"/>
  <c r="F746" i="3"/>
  <c r="G746" i="3"/>
  <c r="F747" i="3"/>
  <c r="G747" i="3"/>
  <c r="F748" i="3"/>
  <c r="G748" i="3"/>
  <c r="F749" i="3"/>
  <c r="G749" i="3"/>
  <c r="F725" i="3"/>
  <c r="G725" i="3"/>
  <c r="C44" i="7"/>
  <c r="D44" i="7"/>
  <c r="K210" i="3"/>
  <c r="C45" i="7"/>
  <c r="D45" i="7"/>
  <c r="K211" i="3"/>
  <c r="C46" i="7"/>
  <c r="D46" i="7"/>
  <c r="K212" i="3"/>
  <c r="C47" i="7"/>
  <c r="D47" i="7"/>
  <c r="K213" i="3"/>
  <c r="C48" i="7"/>
  <c r="D48" i="7"/>
  <c r="K214" i="3"/>
  <c r="C49" i="7"/>
  <c r="D49" i="7"/>
  <c r="K215" i="3"/>
  <c r="C50" i="7"/>
  <c r="D50" i="7"/>
  <c r="K216" i="3"/>
  <c r="C51" i="7"/>
  <c r="D51" i="7"/>
  <c r="K217" i="3"/>
  <c r="C52" i="7"/>
  <c r="D52" i="7"/>
  <c r="K218" i="3"/>
  <c r="C53" i="7"/>
  <c r="D53" i="7"/>
  <c r="K219" i="3"/>
  <c r="C54" i="7"/>
  <c r="D54" i="7"/>
  <c r="K220" i="3"/>
  <c r="C55" i="7"/>
  <c r="D55" i="7"/>
  <c r="K221" i="3"/>
  <c r="C56" i="7"/>
  <c r="D56" i="7"/>
  <c r="K222" i="3"/>
  <c r="C57" i="7"/>
  <c r="D57" i="7"/>
  <c r="K223" i="3"/>
  <c r="C58" i="7"/>
  <c r="D58" i="7"/>
  <c r="K224" i="3"/>
  <c r="C59" i="7"/>
  <c r="D59" i="7"/>
  <c r="K225" i="3"/>
  <c r="C60" i="7"/>
  <c r="D60" i="7"/>
  <c r="K226" i="3"/>
  <c r="C61" i="7"/>
  <c r="D61" i="7"/>
  <c r="K227" i="3"/>
  <c r="C62" i="7"/>
  <c r="D62" i="7"/>
  <c r="K228" i="3"/>
  <c r="C63" i="7"/>
  <c r="D63" i="7"/>
  <c r="K229" i="3"/>
  <c r="C64" i="7"/>
  <c r="D64" i="7"/>
  <c r="K230" i="3"/>
  <c r="C65" i="7"/>
  <c r="D65" i="7"/>
  <c r="K231" i="3"/>
  <c r="C66" i="7"/>
  <c r="D66" i="7"/>
  <c r="K232" i="3"/>
  <c r="C67" i="7"/>
  <c r="D67" i="7"/>
  <c r="K233" i="3"/>
  <c r="C68" i="7"/>
  <c r="D68" i="7"/>
  <c r="K234" i="3"/>
  <c r="C69" i="7"/>
  <c r="D69" i="7"/>
  <c r="K235" i="3"/>
  <c r="C70" i="7"/>
  <c r="D70" i="7"/>
  <c r="K236" i="3"/>
  <c r="C71" i="7"/>
  <c r="D71" i="7"/>
  <c r="K237" i="3"/>
  <c r="C72" i="7"/>
  <c r="D72" i="7"/>
  <c r="K238" i="3"/>
  <c r="C73" i="7"/>
  <c r="D73" i="7"/>
  <c r="K239" i="3"/>
  <c r="C74" i="7"/>
  <c r="D74" i="7"/>
  <c r="K240" i="3"/>
  <c r="C75" i="7"/>
  <c r="D75" i="7"/>
  <c r="K241" i="3"/>
  <c r="C76" i="7"/>
  <c r="D76" i="7"/>
  <c r="K242" i="3"/>
  <c r="C77" i="7"/>
  <c r="D77" i="7"/>
  <c r="K243" i="3"/>
  <c r="C78" i="7"/>
  <c r="D78" i="7"/>
  <c r="K244" i="3"/>
  <c r="C79" i="7"/>
  <c r="D79" i="7"/>
  <c r="K245" i="3"/>
  <c r="C80" i="7"/>
  <c r="D80" i="7"/>
  <c r="K246" i="3"/>
  <c r="C81" i="7"/>
  <c r="D81" i="7"/>
  <c r="K247" i="3"/>
  <c r="C82" i="7"/>
  <c r="D82" i="7"/>
  <c r="K248" i="3"/>
  <c r="C83" i="7"/>
  <c r="D83" i="7"/>
  <c r="K249" i="3"/>
  <c r="C84" i="7"/>
  <c r="D84" i="7"/>
  <c r="K250" i="3"/>
  <c r="C85" i="7"/>
  <c r="D85" i="7"/>
  <c r="K251" i="3"/>
  <c r="C86" i="7"/>
  <c r="D86" i="7"/>
  <c r="K252" i="3"/>
  <c r="C87" i="7"/>
  <c r="D87" i="7"/>
  <c r="K253" i="3"/>
  <c r="C88" i="7"/>
  <c r="D88" i="7"/>
  <c r="K254" i="3"/>
  <c r="C89" i="7"/>
  <c r="D89" i="7"/>
  <c r="K255" i="3"/>
  <c r="C90" i="7"/>
  <c r="D90" i="7"/>
  <c r="K256" i="3"/>
  <c r="C91" i="7"/>
  <c r="D91" i="7"/>
  <c r="K257" i="3"/>
  <c r="C92" i="7"/>
  <c r="D92" i="7"/>
  <c r="K258" i="3"/>
  <c r="C93" i="7"/>
  <c r="D93" i="7"/>
  <c r="K259" i="3"/>
  <c r="C94" i="7"/>
  <c r="D94" i="7"/>
  <c r="K260" i="3"/>
  <c r="C95" i="7"/>
  <c r="D95" i="7"/>
  <c r="K261" i="3"/>
  <c r="C96" i="7"/>
  <c r="D96" i="7"/>
  <c r="K262" i="3"/>
  <c r="C97" i="7"/>
  <c r="D97" i="7"/>
  <c r="K263" i="3"/>
  <c r="C98" i="7"/>
  <c r="D98" i="7"/>
  <c r="K264" i="3"/>
  <c r="C99" i="7"/>
  <c r="D99" i="7"/>
  <c r="K265" i="3"/>
  <c r="C100" i="7"/>
  <c r="D100" i="7"/>
  <c r="K266" i="3"/>
  <c r="C101" i="7"/>
  <c r="D101" i="7"/>
  <c r="K267" i="3"/>
  <c r="C102" i="7"/>
  <c r="D102" i="7"/>
  <c r="K268" i="3"/>
  <c r="C103" i="7"/>
  <c r="D103" i="7"/>
  <c r="K269" i="3"/>
  <c r="C104" i="7"/>
  <c r="D104" i="7"/>
  <c r="K270" i="3"/>
  <c r="C105" i="7"/>
  <c r="D105" i="7"/>
  <c r="K271" i="3"/>
  <c r="C106" i="7"/>
  <c r="D106" i="7"/>
  <c r="K272" i="3"/>
  <c r="C107" i="7"/>
  <c r="D107" i="7"/>
  <c r="K273" i="3"/>
  <c r="C108" i="7"/>
  <c r="D108" i="7"/>
  <c r="K274" i="3"/>
  <c r="C109" i="7"/>
  <c r="D109" i="7"/>
  <c r="K275" i="3"/>
  <c r="C110" i="7"/>
  <c r="D110" i="7"/>
  <c r="K276" i="3"/>
  <c r="C111" i="7"/>
  <c r="D111" i="7"/>
  <c r="K277" i="3"/>
  <c r="C112" i="7"/>
  <c r="D112" i="7"/>
  <c r="K278" i="3"/>
  <c r="C113" i="7"/>
  <c r="D113" i="7"/>
  <c r="K279" i="3"/>
  <c r="C114" i="7"/>
  <c r="D114" i="7"/>
  <c r="K280" i="3"/>
  <c r="C115" i="7"/>
  <c r="D115" i="7"/>
  <c r="K281" i="3"/>
  <c r="C116" i="7"/>
  <c r="D116" i="7"/>
  <c r="K282" i="3"/>
  <c r="C117" i="7"/>
  <c r="D117" i="7"/>
  <c r="K283" i="3"/>
  <c r="C118" i="7"/>
  <c r="D118" i="7"/>
  <c r="K284" i="3"/>
  <c r="C119" i="7"/>
  <c r="D119" i="7"/>
  <c r="K285" i="3"/>
  <c r="C120" i="7"/>
  <c r="D120" i="7"/>
  <c r="K286" i="3"/>
  <c r="C121" i="7"/>
  <c r="D121" i="7"/>
  <c r="K287" i="3"/>
  <c r="C122" i="7"/>
  <c r="D122" i="7"/>
  <c r="K288" i="3"/>
  <c r="C123" i="7"/>
  <c r="D123" i="7"/>
  <c r="K289" i="3"/>
  <c r="C124" i="7"/>
  <c r="D124" i="7"/>
  <c r="K290" i="3"/>
  <c r="C125" i="7"/>
  <c r="D125" i="7"/>
  <c r="K291" i="3"/>
  <c r="C126" i="7"/>
  <c r="D126" i="7"/>
  <c r="K292" i="3"/>
  <c r="C127" i="7"/>
  <c r="D127" i="7"/>
  <c r="K293" i="3"/>
  <c r="C128" i="7"/>
  <c r="D128" i="7"/>
  <c r="K294" i="3"/>
  <c r="C129" i="7"/>
  <c r="D129" i="7"/>
  <c r="K295" i="3"/>
  <c r="C130" i="7"/>
  <c r="D130" i="7"/>
  <c r="K296" i="3"/>
  <c r="C131" i="7"/>
  <c r="D131" i="7"/>
  <c r="K297" i="3"/>
  <c r="C132" i="7"/>
  <c r="D132" i="7"/>
  <c r="K298" i="3"/>
  <c r="C133" i="7"/>
  <c r="D133" i="7"/>
  <c r="K299" i="3"/>
  <c r="C134" i="7"/>
  <c r="D134" i="7"/>
  <c r="K300" i="3"/>
  <c r="C135" i="7"/>
  <c r="D135" i="7"/>
  <c r="K301" i="3"/>
  <c r="C136" i="7"/>
  <c r="D136" i="7"/>
  <c r="K302" i="3"/>
  <c r="C137" i="7"/>
  <c r="D137" i="7"/>
  <c r="K303" i="3"/>
  <c r="C138" i="7"/>
  <c r="D138" i="7"/>
  <c r="K304" i="3"/>
  <c r="C139" i="7"/>
  <c r="D139" i="7"/>
  <c r="K305" i="3"/>
  <c r="C140" i="7"/>
  <c r="D140" i="7"/>
  <c r="K306" i="3"/>
  <c r="C141" i="7"/>
  <c r="D141" i="7"/>
  <c r="K307" i="3"/>
  <c r="C142" i="7"/>
  <c r="D142" i="7"/>
  <c r="K308" i="3"/>
  <c r="C143" i="7"/>
  <c r="D143" i="7"/>
  <c r="K309" i="3"/>
  <c r="M211" i="3"/>
  <c r="M210" i="3"/>
  <c r="K724" i="3"/>
  <c r="D17" i="15"/>
  <c r="D16" i="15"/>
  <c r="D23" i="15"/>
  <c r="D22" i="15"/>
  <c r="D21" i="15"/>
  <c r="D27" i="15"/>
  <c r="D26" i="15"/>
  <c r="D25" i="15"/>
  <c r="J6" i="15"/>
  <c r="J5" i="15"/>
  <c r="I6" i="15"/>
  <c r="I5" i="15"/>
  <c r="A14" i="15"/>
  <c r="D17" i="14"/>
  <c r="D18" i="14"/>
  <c r="D16" i="14"/>
  <c r="D15" i="14"/>
  <c r="J6" i="14"/>
  <c r="J5" i="14"/>
  <c r="D26" i="14"/>
  <c r="D25" i="14"/>
  <c r="D24" i="14"/>
  <c r="D20" i="14"/>
  <c r="D22" i="14"/>
  <c r="D21" i="14"/>
  <c r="B624" i="3"/>
  <c r="D27" i="10"/>
  <c r="B630" i="3"/>
  <c r="B629" i="3"/>
  <c r="K622" i="3"/>
  <c r="B627" i="3"/>
  <c r="B628" i="3"/>
  <c r="B623" i="3"/>
  <c r="A14" i="14"/>
  <c r="F33" i="14"/>
  <c r="F132" i="14"/>
  <c r="F99" i="14"/>
  <c r="F110" i="14"/>
  <c r="F62" i="14"/>
  <c r="F113" i="14"/>
  <c r="F65" i="14"/>
  <c r="F112" i="14"/>
  <c r="F60" i="14"/>
  <c r="F111" i="14"/>
  <c r="F44" i="14"/>
  <c r="F122" i="14"/>
  <c r="F125" i="14"/>
  <c r="F80" i="14"/>
  <c r="F127" i="14"/>
  <c r="F67" i="14"/>
  <c r="F130" i="14"/>
  <c r="F114" i="14"/>
  <c r="F98" i="14"/>
  <c r="F82" i="14"/>
  <c r="F66" i="14"/>
  <c r="F50" i="14"/>
  <c r="F117" i="14"/>
  <c r="F101" i="14"/>
  <c r="F85" i="14"/>
  <c r="F69" i="14"/>
  <c r="F53" i="14"/>
  <c r="F37" i="14"/>
  <c r="F116" i="14"/>
  <c r="F100" i="14"/>
  <c r="F84" i="14"/>
  <c r="F64" i="14"/>
  <c r="F40" i="14"/>
  <c r="F115" i="14"/>
  <c r="F95" i="14"/>
  <c r="F63" i="14"/>
  <c r="F56" i="14"/>
  <c r="F126" i="14"/>
  <c r="F78" i="14"/>
  <c r="F129" i="14"/>
  <c r="F81" i="14"/>
  <c r="F128" i="14"/>
  <c r="F76" i="14"/>
  <c r="F55" i="14"/>
  <c r="F47" i="14"/>
  <c r="F90" i="14"/>
  <c r="F58" i="14"/>
  <c r="F109" i="14"/>
  <c r="F77" i="14"/>
  <c r="F45" i="14"/>
  <c r="F124" i="14"/>
  <c r="F92" i="14"/>
  <c r="F72" i="14"/>
  <c r="F52" i="14"/>
  <c r="F123" i="14"/>
  <c r="F107" i="14"/>
  <c r="F79" i="14"/>
  <c r="F51" i="14"/>
  <c r="F83" i="14"/>
  <c r="F59" i="14"/>
  <c r="F94" i="14"/>
  <c r="F46" i="14"/>
  <c r="F97" i="14"/>
  <c r="F49" i="14"/>
  <c r="F96" i="14"/>
  <c r="F131" i="14"/>
  <c r="F91" i="14"/>
  <c r="F35" i="14"/>
  <c r="F87" i="14"/>
  <c r="F106" i="14"/>
  <c r="F74" i="14"/>
  <c r="F42" i="14"/>
  <c r="F93" i="14"/>
  <c r="F61" i="14"/>
  <c r="F108" i="14"/>
  <c r="F36" i="14"/>
  <c r="F75" i="14"/>
  <c r="F39" i="14"/>
  <c r="F118" i="14"/>
  <c r="F102" i="14"/>
  <c r="F86" i="14"/>
  <c r="F70" i="14"/>
  <c r="F54" i="14"/>
  <c r="F38" i="14"/>
  <c r="F121" i="14"/>
  <c r="F105" i="14"/>
  <c r="F89" i="14"/>
  <c r="F73" i="14"/>
  <c r="F57" i="14"/>
  <c r="F41" i="14"/>
  <c r="F120" i="14"/>
  <c r="F104" i="14"/>
  <c r="F88" i="14"/>
  <c r="F68" i="14"/>
  <c r="F48" i="14"/>
  <c r="F119" i="14"/>
  <c r="F103" i="14"/>
  <c r="F71" i="14"/>
  <c r="F43" i="14"/>
  <c r="G30" i="14"/>
  <c r="G38" i="14"/>
  <c r="G41" i="14"/>
  <c r="D30" i="14"/>
  <c r="G44" i="14"/>
  <c r="F34" i="14"/>
  <c r="C4" i="13"/>
  <c r="G35" i="14"/>
  <c r="M627" i="3"/>
  <c r="F18" i="13"/>
  <c r="D16" i="13"/>
  <c r="F19" i="13"/>
  <c r="F20" i="13"/>
  <c r="F23" i="13"/>
  <c r="F22" i="13"/>
  <c r="F21" i="13"/>
  <c r="F16" i="13"/>
  <c r="B424" i="3"/>
  <c r="B423" i="3"/>
  <c r="C4" i="12"/>
  <c r="F21" i="12"/>
  <c r="H25" i="12"/>
  <c r="D18" i="13"/>
  <c r="P627" i="3"/>
  <c r="M628" i="3"/>
  <c r="D19" i="13"/>
  <c r="D22" i="13"/>
  <c r="D20" i="13"/>
  <c r="D23" i="13"/>
  <c r="D21" i="13"/>
  <c r="G18" i="13"/>
  <c r="G22" i="13"/>
  <c r="F23" i="12"/>
  <c r="H23" i="12"/>
  <c r="F24" i="12"/>
  <c r="F25" i="12"/>
  <c r="G25" i="12"/>
  <c r="H21" i="12"/>
  <c r="H22" i="12"/>
  <c r="H24" i="12"/>
  <c r="H19" i="12"/>
  <c r="D22" i="12"/>
  <c r="D25" i="12"/>
  <c r="D23" i="12"/>
  <c r="D21" i="12"/>
  <c r="F22" i="12"/>
  <c r="D19" i="12"/>
  <c r="D24" i="12"/>
  <c r="F19" i="12"/>
  <c r="C4" i="11"/>
  <c r="D37" i="7"/>
  <c r="D36" i="7"/>
  <c r="E18" i="13"/>
  <c r="E22" i="13"/>
  <c r="M629" i="3"/>
  <c r="O627" i="3"/>
  <c r="E21" i="12"/>
  <c r="I25" i="12"/>
  <c r="E25" i="12"/>
  <c r="I21" i="12"/>
  <c r="G21" i="12"/>
  <c r="D22" i="11"/>
  <c r="F23" i="11"/>
  <c r="D23" i="11"/>
  <c r="D24" i="11"/>
  <c r="D25" i="11"/>
  <c r="D21" i="11"/>
  <c r="H21" i="11"/>
  <c r="F25" i="11"/>
  <c r="F24" i="11"/>
  <c r="F22" i="11"/>
  <c r="H19" i="11"/>
  <c r="F21" i="11"/>
  <c r="F19" i="11"/>
  <c r="H23" i="11"/>
  <c r="H25" i="11"/>
  <c r="D19" i="11"/>
  <c r="H24" i="11"/>
  <c r="H22" i="11"/>
  <c r="J5" i="7"/>
  <c r="B527" i="3"/>
  <c r="B525" i="3"/>
  <c r="E521" i="3"/>
  <c r="B524" i="3"/>
  <c r="B523" i="3"/>
  <c r="K520" i="3"/>
  <c r="D18" i="10"/>
  <c r="D17" i="10"/>
  <c r="D16" i="10"/>
  <c r="D15" i="10"/>
  <c r="D26" i="10"/>
  <c r="D25" i="10"/>
  <c r="D24" i="10"/>
  <c r="D21" i="10"/>
  <c r="B522" i="3"/>
  <c r="G5" i="10"/>
  <c r="D20" i="10"/>
  <c r="B521" i="3"/>
  <c r="A14" i="10"/>
  <c r="D26" i="8"/>
  <c r="D20" i="9"/>
  <c r="B419" i="3"/>
  <c r="B426" i="3"/>
  <c r="B425" i="3"/>
  <c r="B422" i="3"/>
  <c r="B421" i="3"/>
  <c r="D26" i="9"/>
  <c r="D25" i="9"/>
  <c r="D24" i="9"/>
  <c r="D21" i="9"/>
  <c r="B420" i="3"/>
  <c r="D18" i="9"/>
  <c r="D17" i="9"/>
  <c r="D15" i="9"/>
  <c r="D16" i="9"/>
  <c r="K418" i="3"/>
  <c r="G6" i="9"/>
  <c r="A14" i="9"/>
  <c r="J6" i="9"/>
  <c r="J5" i="9"/>
  <c r="J5" i="8"/>
  <c r="D21" i="8"/>
  <c r="D25" i="8"/>
  <c r="B315" i="3"/>
  <c r="B314" i="3"/>
  <c r="K311" i="3"/>
  <c r="D15" i="8"/>
  <c r="D16" i="8"/>
  <c r="D17" i="8"/>
  <c r="D18" i="8"/>
  <c r="D5" i="8"/>
  <c r="A14" i="8"/>
  <c r="J6" i="1"/>
  <c r="J5" i="1"/>
  <c r="J6" i="6"/>
  <c r="J5" i="6"/>
  <c r="J6" i="7"/>
  <c r="D33" i="7"/>
  <c r="D34" i="7"/>
  <c r="D31" i="7"/>
  <c r="D30" i="7"/>
  <c r="D17" i="7"/>
  <c r="D21" i="7"/>
  <c r="D26" i="7"/>
  <c r="B211" i="3"/>
  <c r="B210" i="3"/>
  <c r="B213" i="3"/>
  <c r="B212" i="3"/>
  <c r="K209" i="3"/>
  <c r="G6" i="7"/>
  <c r="B219" i="3"/>
  <c r="A14" i="7"/>
  <c r="D24" i="6"/>
  <c r="B116" i="3"/>
  <c r="D18" i="6"/>
  <c r="D17" i="6"/>
  <c r="D16" i="6"/>
  <c r="D15" i="6"/>
  <c r="B115" i="3"/>
  <c r="B114" i="3"/>
  <c r="D25" i="6"/>
  <c r="D26" i="6"/>
  <c r="B117" i="3"/>
  <c r="G6" i="6"/>
  <c r="B111" i="3"/>
  <c r="B110" i="3"/>
  <c r="K107" i="3"/>
  <c r="D22" i="6"/>
  <c r="D20" i="6"/>
  <c r="B108" i="3"/>
  <c r="A14" i="6"/>
  <c r="G6" i="1"/>
  <c r="G5" i="1"/>
  <c r="K5" i="3"/>
  <c r="D20" i="1"/>
  <c r="C35" i="1"/>
  <c r="D35" i="1"/>
  <c r="F35" i="1"/>
  <c r="C36" i="1"/>
  <c r="D36" i="1"/>
  <c r="F36" i="1"/>
  <c r="C37" i="1"/>
  <c r="D37" i="1"/>
  <c r="F37" i="1"/>
  <c r="C38" i="1"/>
  <c r="D38" i="1"/>
  <c r="F38" i="1"/>
  <c r="C39" i="1"/>
  <c r="D39" i="1"/>
  <c r="F39" i="1"/>
  <c r="C40" i="1"/>
  <c r="D40" i="1"/>
  <c r="F40" i="1"/>
  <c r="C41" i="1"/>
  <c r="D41" i="1"/>
  <c r="F41" i="1"/>
  <c r="C42" i="1"/>
  <c r="D42" i="1"/>
  <c r="F42" i="1"/>
  <c r="C43" i="1"/>
  <c r="D43" i="1"/>
  <c r="F43" i="1"/>
  <c r="C44" i="1"/>
  <c r="D44" i="1"/>
  <c r="F44" i="1"/>
  <c r="C45" i="1"/>
  <c r="D45" i="1"/>
  <c r="F45" i="1"/>
  <c r="C46" i="1"/>
  <c r="D46" i="1"/>
  <c r="F46" i="1"/>
  <c r="C47" i="1"/>
  <c r="D47" i="1"/>
  <c r="F47" i="1"/>
  <c r="C48" i="1"/>
  <c r="D48" i="1"/>
  <c r="F48" i="1"/>
  <c r="C49" i="1"/>
  <c r="D49" i="1"/>
  <c r="F49" i="1"/>
  <c r="C50" i="1"/>
  <c r="D50" i="1"/>
  <c r="F50" i="1"/>
  <c r="C51" i="1"/>
  <c r="D51" i="1"/>
  <c r="F51" i="1"/>
  <c r="C52" i="1"/>
  <c r="D52" i="1"/>
  <c r="F52" i="1"/>
  <c r="C53" i="1"/>
  <c r="D53" i="1"/>
  <c r="F53" i="1"/>
  <c r="C54" i="1"/>
  <c r="D54" i="1"/>
  <c r="F54" i="1"/>
  <c r="C55" i="1"/>
  <c r="D55" i="1"/>
  <c r="F55" i="1"/>
  <c r="C56" i="1"/>
  <c r="D56" i="1"/>
  <c r="F56" i="1"/>
  <c r="C57" i="1"/>
  <c r="D57" i="1"/>
  <c r="F57" i="1"/>
  <c r="C58" i="1"/>
  <c r="D58" i="1"/>
  <c r="F58" i="1"/>
  <c r="C59" i="1"/>
  <c r="D59" i="1"/>
  <c r="F59" i="1"/>
  <c r="C60" i="1"/>
  <c r="D60" i="1"/>
  <c r="F60" i="1"/>
  <c r="C61" i="1"/>
  <c r="D61" i="1"/>
  <c r="F61" i="1"/>
  <c r="C62" i="1"/>
  <c r="D62" i="1"/>
  <c r="F62" i="1"/>
  <c r="C63" i="1"/>
  <c r="D63" i="1"/>
  <c r="F63" i="1"/>
  <c r="C64" i="1"/>
  <c r="D64" i="1"/>
  <c r="F64" i="1"/>
  <c r="C65" i="1"/>
  <c r="D65" i="1"/>
  <c r="F65" i="1"/>
  <c r="C66" i="1"/>
  <c r="D66" i="1"/>
  <c r="F66" i="1"/>
  <c r="C67" i="1"/>
  <c r="D67" i="1"/>
  <c r="F67" i="1"/>
  <c r="C68" i="1"/>
  <c r="D68" i="1"/>
  <c r="F68" i="1"/>
  <c r="C69" i="1"/>
  <c r="D69" i="1"/>
  <c r="F69" i="1"/>
  <c r="C70" i="1"/>
  <c r="D70" i="1"/>
  <c r="F70" i="1"/>
  <c r="C71" i="1"/>
  <c r="D71" i="1"/>
  <c r="F71" i="1"/>
  <c r="C72" i="1"/>
  <c r="D72" i="1"/>
  <c r="F72" i="1"/>
  <c r="C73" i="1"/>
  <c r="D73" i="1"/>
  <c r="F73" i="1"/>
  <c r="C74" i="1"/>
  <c r="D74" i="1"/>
  <c r="F74" i="1"/>
  <c r="C75" i="1"/>
  <c r="D75" i="1"/>
  <c r="F75" i="1"/>
  <c r="C76" i="1"/>
  <c r="D76" i="1"/>
  <c r="F76" i="1"/>
  <c r="C77" i="1"/>
  <c r="D77" i="1"/>
  <c r="F77" i="1"/>
  <c r="C78" i="1"/>
  <c r="D78" i="1"/>
  <c r="F78" i="1"/>
  <c r="C79" i="1"/>
  <c r="D79" i="1"/>
  <c r="F79" i="1"/>
  <c r="C80" i="1"/>
  <c r="D80" i="1"/>
  <c r="F80" i="1"/>
  <c r="C81" i="1"/>
  <c r="D81" i="1"/>
  <c r="F81" i="1"/>
  <c r="C82" i="1"/>
  <c r="D82" i="1"/>
  <c r="F82" i="1"/>
  <c r="C83" i="1"/>
  <c r="D83" i="1"/>
  <c r="F83" i="1"/>
  <c r="C84" i="1"/>
  <c r="D84" i="1"/>
  <c r="F84" i="1"/>
  <c r="C85" i="1"/>
  <c r="D85" i="1"/>
  <c r="F85" i="1"/>
  <c r="C86" i="1"/>
  <c r="D86" i="1"/>
  <c r="F86" i="1"/>
  <c r="C87" i="1"/>
  <c r="D87" i="1"/>
  <c r="F87" i="1"/>
  <c r="C88" i="1"/>
  <c r="D88" i="1"/>
  <c r="F88" i="1"/>
  <c r="C89" i="1"/>
  <c r="D89" i="1"/>
  <c r="F89" i="1"/>
  <c r="C90" i="1"/>
  <c r="D90" i="1"/>
  <c r="F90" i="1"/>
  <c r="C91" i="1"/>
  <c r="D91" i="1"/>
  <c r="F91" i="1"/>
  <c r="C92" i="1"/>
  <c r="D92" i="1"/>
  <c r="F92" i="1"/>
  <c r="C93" i="1"/>
  <c r="D93" i="1"/>
  <c r="F93" i="1"/>
  <c r="C94" i="1"/>
  <c r="D94" i="1"/>
  <c r="F94" i="1"/>
  <c r="C95" i="1"/>
  <c r="D95" i="1"/>
  <c r="F95" i="1"/>
  <c r="C96" i="1"/>
  <c r="D96" i="1"/>
  <c r="F96" i="1"/>
  <c r="C97" i="1"/>
  <c r="D97" i="1"/>
  <c r="F97" i="1"/>
  <c r="C98" i="1"/>
  <c r="D98" i="1"/>
  <c r="F98" i="1"/>
  <c r="C99" i="1"/>
  <c r="D99" i="1"/>
  <c r="F99" i="1"/>
  <c r="C100" i="1"/>
  <c r="D100" i="1"/>
  <c r="F100" i="1"/>
  <c r="C101" i="1"/>
  <c r="D101" i="1"/>
  <c r="F101" i="1"/>
  <c r="C102" i="1"/>
  <c r="D102" i="1"/>
  <c r="F102" i="1"/>
  <c r="C103" i="1"/>
  <c r="D103" i="1"/>
  <c r="F103" i="1"/>
  <c r="C104" i="1"/>
  <c r="D104" i="1"/>
  <c r="F104" i="1"/>
  <c r="C105" i="1"/>
  <c r="D105" i="1"/>
  <c r="F105" i="1"/>
  <c r="C106" i="1"/>
  <c r="D106" i="1"/>
  <c r="F106" i="1"/>
  <c r="C107" i="1"/>
  <c r="D107" i="1"/>
  <c r="F107" i="1"/>
  <c r="C108" i="1"/>
  <c r="D108" i="1"/>
  <c r="F108" i="1"/>
  <c r="C109" i="1"/>
  <c r="D109" i="1"/>
  <c r="F109" i="1"/>
  <c r="C110" i="1"/>
  <c r="D110" i="1"/>
  <c r="F110" i="1"/>
  <c r="C111" i="1"/>
  <c r="D111" i="1"/>
  <c r="F111" i="1"/>
  <c r="C112" i="1"/>
  <c r="D112" i="1"/>
  <c r="F112" i="1"/>
  <c r="C113" i="1"/>
  <c r="D113" i="1"/>
  <c r="F113" i="1"/>
  <c r="C114" i="1"/>
  <c r="D114" i="1"/>
  <c r="F114" i="1"/>
  <c r="C115" i="1"/>
  <c r="D115" i="1"/>
  <c r="F115" i="1"/>
  <c r="C116" i="1"/>
  <c r="D116" i="1"/>
  <c r="F116" i="1"/>
  <c r="C117" i="1"/>
  <c r="D117" i="1"/>
  <c r="F117" i="1"/>
  <c r="C118" i="1"/>
  <c r="D118" i="1"/>
  <c r="F118" i="1"/>
  <c r="C119" i="1"/>
  <c r="D119" i="1"/>
  <c r="F119" i="1"/>
  <c r="C120" i="1"/>
  <c r="D120" i="1"/>
  <c r="F120" i="1"/>
  <c r="C121" i="1"/>
  <c r="D121" i="1"/>
  <c r="F121" i="1"/>
  <c r="C122" i="1"/>
  <c r="D122" i="1"/>
  <c r="F122" i="1"/>
  <c r="C123" i="1"/>
  <c r="D123" i="1"/>
  <c r="F123" i="1"/>
  <c r="C124" i="1"/>
  <c r="D124" i="1"/>
  <c r="F124" i="1"/>
  <c r="C125" i="1"/>
  <c r="D125" i="1"/>
  <c r="F125" i="1"/>
  <c r="C126" i="1"/>
  <c r="D126" i="1"/>
  <c r="F126" i="1"/>
  <c r="C127" i="1"/>
  <c r="D127" i="1"/>
  <c r="F127" i="1"/>
  <c r="C128" i="1"/>
  <c r="D128" i="1"/>
  <c r="F128" i="1"/>
  <c r="C129" i="1"/>
  <c r="D129" i="1"/>
  <c r="F129" i="1"/>
  <c r="C130" i="1"/>
  <c r="D130" i="1"/>
  <c r="F130" i="1"/>
  <c r="C131" i="1"/>
  <c r="D131" i="1"/>
  <c r="F131" i="1"/>
  <c r="C132" i="1"/>
  <c r="D132" i="1"/>
  <c r="F132" i="1"/>
  <c r="C34" i="1"/>
  <c r="D34" i="1"/>
  <c r="F34" i="1"/>
  <c r="C33" i="1"/>
  <c r="D33" i="1"/>
  <c r="F33" i="1"/>
  <c r="D17" i="1"/>
  <c r="D21" i="1"/>
  <c r="D24" i="1"/>
  <c r="D26" i="1"/>
  <c r="D25" i="1"/>
  <c r="D16" i="1"/>
  <c r="D22" i="1"/>
  <c r="B9" i="3"/>
  <c r="B8" i="3"/>
  <c r="B7" i="3"/>
  <c r="B6" i="3"/>
  <c r="D18" i="1"/>
  <c r="D15" i="1"/>
  <c r="A14" i="1"/>
  <c r="B215" i="3"/>
  <c r="B214" i="3"/>
  <c r="F312" i="3"/>
  <c r="G312" i="3"/>
  <c r="M630" i="3"/>
  <c r="O628" i="3"/>
  <c r="B113" i="3"/>
  <c r="B112" i="3"/>
  <c r="E108" i="3"/>
  <c r="D22" i="10"/>
  <c r="D23" i="8"/>
  <c r="D19" i="8"/>
  <c r="D22" i="9"/>
  <c r="E21" i="11"/>
  <c r="E25" i="11"/>
  <c r="G25" i="11"/>
  <c r="I21" i="11"/>
  <c r="G21" i="11"/>
  <c r="I25" i="11"/>
  <c r="D20" i="7"/>
  <c r="D23" i="7"/>
  <c r="D22" i="7"/>
  <c r="D27" i="7"/>
  <c r="D16" i="7"/>
  <c r="G5" i="7"/>
  <c r="D28" i="7"/>
  <c r="D15" i="7"/>
  <c r="D18" i="7"/>
  <c r="H521" i="3"/>
  <c r="I521" i="3"/>
  <c r="F521" i="3"/>
  <c r="G521" i="3"/>
  <c r="B526" i="3"/>
  <c r="F36" i="10"/>
  <c r="F40" i="10"/>
  <c r="F44" i="10"/>
  <c r="F48" i="10"/>
  <c r="F52" i="10"/>
  <c r="F56" i="10"/>
  <c r="F60" i="10"/>
  <c r="F64" i="10"/>
  <c r="F68" i="10"/>
  <c r="F72" i="10"/>
  <c r="F76" i="10"/>
  <c r="F80" i="10"/>
  <c r="F84" i="10"/>
  <c r="F88" i="10"/>
  <c r="F92" i="10"/>
  <c r="F96" i="10"/>
  <c r="F100" i="10"/>
  <c r="F104" i="10"/>
  <c r="F112" i="10"/>
  <c r="F116" i="10"/>
  <c r="F120" i="10"/>
  <c r="F124" i="10"/>
  <c r="F128" i="10"/>
  <c r="F132" i="10"/>
  <c r="F35" i="10"/>
  <c r="F39" i="10"/>
  <c r="F43" i="10"/>
  <c r="F47" i="10"/>
  <c r="F51" i="10"/>
  <c r="F55" i="10"/>
  <c r="F59" i="10"/>
  <c r="F63" i="10"/>
  <c r="F67" i="10"/>
  <c r="F71" i="10"/>
  <c r="F75" i="10"/>
  <c r="F79" i="10"/>
  <c r="F83" i="10"/>
  <c r="F87" i="10"/>
  <c r="F91" i="10"/>
  <c r="F95" i="10"/>
  <c r="F99" i="10"/>
  <c r="F103" i="10"/>
  <c r="F107" i="10"/>
  <c r="F111" i="10"/>
  <c r="F115" i="10"/>
  <c r="F119" i="10"/>
  <c r="F123" i="10"/>
  <c r="F127" i="10"/>
  <c r="F131" i="10"/>
  <c r="F108" i="3"/>
  <c r="G108" i="3"/>
  <c r="E420" i="3"/>
  <c r="E421" i="3"/>
  <c r="F34" i="10"/>
  <c r="F419" i="3"/>
  <c r="G419" i="3"/>
  <c r="H419" i="3"/>
  <c r="I419" i="3"/>
  <c r="F38" i="9"/>
  <c r="F42" i="9"/>
  <c r="F46" i="9"/>
  <c r="F50" i="9"/>
  <c r="F54" i="9"/>
  <c r="F58" i="9"/>
  <c r="F62" i="9"/>
  <c r="F66" i="9"/>
  <c r="F70" i="9"/>
  <c r="F74" i="9"/>
  <c r="F78" i="9"/>
  <c r="F82" i="9"/>
  <c r="F86" i="9"/>
  <c r="F90" i="9"/>
  <c r="F94" i="9"/>
  <c r="F98" i="9"/>
  <c r="F102" i="9"/>
  <c r="F106" i="9"/>
  <c r="F110" i="9"/>
  <c r="F114" i="9"/>
  <c r="F118" i="9"/>
  <c r="F122" i="9"/>
  <c r="F126" i="9"/>
  <c r="F130" i="9"/>
  <c r="F33" i="9"/>
  <c r="F34" i="9"/>
  <c r="D24" i="7"/>
  <c r="D22" i="8"/>
  <c r="E210" i="3"/>
  <c r="B217" i="3"/>
  <c r="C216" i="3"/>
  <c r="C218" i="3"/>
  <c r="H108" i="3"/>
  <c r="I108" i="3"/>
  <c r="F38" i="6"/>
  <c r="F42" i="6"/>
  <c r="F46" i="6"/>
  <c r="F50" i="6"/>
  <c r="F54" i="6"/>
  <c r="F58" i="6"/>
  <c r="F62" i="6"/>
  <c r="F66" i="6"/>
  <c r="F70" i="6"/>
  <c r="F74" i="6"/>
  <c r="F78" i="6"/>
  <c r="F82" i="6"/>
  <c r="F86" i="6"/>
  <c r="F90" i="6"/>
  <c r="F94" i="6"/>
  <c r="F98" i="6"/>
  <c r="F102" i="6"/>
  <c r="F106" i="6"/>
  <c r="F110" i="6"/>
  <c r="F114" i="6"/>
  <c r="F118" i="6"/>
  <c r="F122" i="6"/>
  <c r="F126" i="6"/>
  <c r="F130" i="6"/>
  <c r="F36" i="6"/>
  <c r="F40" i="6"/>
  <c r="F44" i="6"/>
  <c r="F48" i="6"/>
  <c r="F52" i="6"/>
  <c r="F56" i="6"/>
  <c r="F60" i="6"/>
  <c r="F64" i="6"/>
  <c r="F68" i="6"/>
  <c r="F72" i="6"/>
  <c r="F76" i="6"/>
  <c r="F80" i="6"/>
  <c r="F84" i="6"/>
  <c r="F88" i="6"/>
  <c r="F92" i="6"/>
  <c r="F96" i="6"/>
  <c r="F100" i="6"/>
  <c r="F104" i="6"/>
  <c r="F108" i="6"/>
  <c r="F112" i="6"/>
  <c r="F116" i="6"/>
  <c r="F120" i="6"/>
  <c r="F124" i="6"/>
  <c r="F128" i="6"/>
  <c r="F132" i="6"/>
  <c r="F34" i="6"/>
  <c r="K105" i="3"/>
  <c r="K101" i="3"/>
  <c r="K97" i="3"/>
  <c r="K93" i="3"/>
  <c r="K89" i="3"/>
  <c r="K85" i="3"/>
  <c r="K81" i="3"/>
  <c r="K77" i="3"/>
  <c r="K102" i="3"/>
  <c r="K98" i="3"/>
  <c r="K94" i="3"/>
  <c r="K90" i="3"/>
  <c r="K86" i="3"/>
  <c r="K82" i="3"/>
  <c r="K78" i="3"/>
  <c r="K103" i="3"/>
  <c r="K99" i="3"/>
  <c r="K95" i="3"/>
  <c r="K91" i="3"/>
  <c r="K87" i="3"/>
  <c r="K83" i="3"/>
  <c r="K79" i="3"/>
  <c r="K104" i="3"/>
  <c r="K100" i="3"/>
  <c r="K96" i="3"/>
  <c r="K92" i="3"/>
  <c r="K88" i="3"/>
  <c r="K84" i="3"/>
  <c r="K80" i="3"/>
  <c r="K73" i="3"/>
  <c r="K69" i="3"/>
  <c r="K65" i="3"/>
  <c r="K74" i="3"/>
  <c r="K70" i="3"/>
  <c r="K66" i="3"/>
  <c r="K75" i="3"/>
  <c r="K71" i="3"/>
  <c r="K67" i="3"/>
  <c r="K76" i="3"/>
  <c r="K72" i="3"/>
  <c r="K68" i="3"/>
  <c r="K61" i="3"/>
  <c r="K57" i="3"/>
  <c r="K53" i="3"/>
  <c r="K62" i="3"/>
  <c r="K58" i="3"/>
  <c r="K54" i="3"/>
  <c r="K63" i="3"/>
  <c r="K59" i="3"/>
  <c r="K55" i="3"/>
  <c r="K64" i="3"/>
  <c r="K60" i="3"/>
  <c r="K56" i="3"/>
  <c r="K51" i="3"/>
  <c r="K47" i="3"/>
  <c r="K43" i="3"/>
  <c r="K39" i="3"/>
  <c r="K35" i="3"/>
  <c r="K31" i="3"/>
  <c r="K27" i="3"/>
  <c r="K23" i="3"/>
  <c r="K19" i="3"/>
  <c r="K15" i="3"/>
  <c r="K11" i="3"/>
  <c r="K7" i="3"/>
  <c r="K52" i="3"/>
  <c r="K48" i="3"/>
  <c r="K44" i="3"/>
  <c r="K40" i="3"/>
  <c r="K36" i="3"/>
  <c r="K32" i="3"/>
  <c r="K28" i="3"/>
  <c r="K24" i="3"/>
  <c r="K20" i="3"/>
  <c r="K16" i="3"/>
  <c r="K12" i="3"/>
  <c r="K8" i="3"/>
  <c r="K49" i="3"/>
  <c r="K45" i="3"/>
  <c r="K41" i="3"/>
  <c r="K37" i="3"/>
  <c r="K33" i="3"/>
  <c r="K29" i="3"/>
  <c r="K25" i="3"/>
  <c r="K21" i="3"/>
  <c r="K17" i="3"/>
  <c r="K13" i="3"/>
  <c r="K9" i="3"/>
  <c r="K50" i="3"/>
  <c r="K46" i="3"/>
  <c r="K42" i="3"/>
  <c r="K38" i="3"/>
  <c r="K34" i="3"/>
  <c r="K30" i="3"/>
  <c r="K26" i="3"/>
  <c r="K22" i="3"/>
  <c r="K18" i="3"/>
  <c r="K14" i="3"/>
  <c r="K10" i="3"/>
  <c r="K6" i="3"/>
  <c r="G44" i="1"/>
  <c r="G41" i="1"/>
  <c r="G38" i="1"/>
  <c r="G35" i="1"/>
  <c r="G30" i="1"/>
  <c r="D30" i="1"/>
  <c r="B10" i="3"/>
  <c r="E6" i="3"/>
  <c r="H6" i="3"/>
  <c r="B11" i="3"/>
  <c r="I312" i="3"/>
  <c r="B118" i="3"/>
  <c r="E109" i="3"/>
  <c r="M631" i="3"/>
  <c r="O629" i="3"/>
  <c r="F108" i="10"/>
  <c r="E623" i="3"/>
  <c r="F105" i="7"/>
  <c r="F137" i="7"/>
  <c r="F71" i="7"/>
  <c r="F133" i="7"/>
  <c r="F135" i="7"/>
  <c r="F101" i="7"/>
  <c r="F69" i="7"/>
  <c r="F121" i="7"/>
  <c r="F103" i="7"/>
  <c r="F73" i="7"/>
  <c r="F117" i="7"/>
  <c r="F45" i="7"/>
  <c r="F53" i="7"/>
  <c r="F119" i="7"/>
  <c r="F87" i="7"/>
  <c r="F55" i="7"/>
  <c r="F85" i="7"/>
  <c r="F59" i="7"/>
  <c r="F125" i="7"/>
  <c r="F65" i="7"/>
  <c r="F123" i="7"/>
  <c r="F57" i="7"/>
  <c r="F97" i="7"/>
  <c r="F93" i="7"/>
  <c r="F91" i="7"/>
  <c r="F129" i="7"/>
  <c r="F89" i="7"/>
  <c r="F49" i="7"/>
  <c r="F420" i="3"/>
  <c r="G420" i="3"/>
  <c r="F141" i="7"/>
  <c r="F109" i="7"/>
  <c r="F77" i="7"/>
  <c r="F113" i="7"/>
  <c r="F81" i="7"/>
  <c r="F61" i="7"/>
  <c r="F139" i="7"/>
  <c r="F107" i="7"/>
  <c r="F75" i="7"/>
  <c r="F143" i="7"/>
  <c r="F127" i="7"/>
  <c r="F111" i="7"/>
  <c r="F95" i="7"/>
  <c r="F79" i="7"/>
  <c r="F63" i="7"/>
  <c r="F47" i="7"/>
  <c r="F44" i="7"/>
  <c r="F131" i="7"/>
  <c r="F115" i="7"/>
  <c r="F99" i="7"/>
  <c r="F83" i="7"/>
  <c r="F67" i="7"/>
  <c r="F51" i="7"/>
  <c r="H420" i="3"/>
  <c r="I420" i="3"/>
  <c r="E522" i="3"/>
  <c r="E523" i="3"/>
  <c r="F54" i="10"/>
  <c r="F70" i="10"/>
  <c r="F86" i="10"/>
  <c r="F102" i="10"/>
  <c r="F118" i="10"/>
  <c r="F49" i="10"/>
  <c r="F65" i="10"/>
  <c r="F81" i="10"/>
  <c r="F97" i="10"/>
  <c r="F113" i="10"/>
  <c r="F129" i="10"/>
  <c r="F50" i="10"/>
  <c r="F66" i="10"/>
  <c r="F82" i="10"/>
  <c r="F98" i="10"/>
  <c r="F114" i="10"/>
  <c r="F130" i="10"/>
  <c r="F45" i="10"/>
  <c r="F61" i="10"/>
  <c r="F77" i="10"/>
  <c r="F93" i="10"/>
  <c r="F109" i="10"/>
  <c r="F125" i="10"/>
  <c r="F46" i="10"/>
  <c r="F62" i="10"/>
  <c r="F78" i="10"/>
  <c r="F94" i="10"/>
  <c r="F110" i="10"/>
  <c r="F126" i="10"/>
  <c r="F41" i="10"/>
  <c r="F57" i="10"/>
  <c r="F73" i="10"/>
  <c r="F89" i="10"/>
  <c r="F105" i="10"/>
  <c r="F121" i="10"/>
  <c r="F58" i="10"/>
  <c r="F74" i="10"/>
  <c r="F90" i="10"/>
  <c r="F106" i="10"/>
  <c r="F122" i="10"/>
  <c r="F37" i="10"/>
  <c r="F53" i="10"/>
  <c r="F69" i="10"/>
  <c r="F85" i="10"/>
  <c r="F101" i="10"/>
  <c r="F117" i="10"/>
  <c r="F133" i="10"/>
  <c r="D31" i="10"/>
  <c r="G31" i="10"/>
  <c r="G45" i="10"/>
  <c r="G42" i="10"/>
  <c r="F38" i="10"/>
  <c r="G39" i="10"/>
  <c r="F42" i="10"/>
  <c r="E422" i="3"/>
  <c r="H421" i="3"/>
  <c r="I421" i="3"/>
  <c r="F421" i="3"/>
  <c r="G421" i="3"/>
  <c r="F57" i="9"/>
  <c r="F73" i="9"/>
  <c r="F89" i="9"/>
  <c r="F105" i="9"/>
  <c r="F121" i="9"/>
  <c r="F40" i="9"/>
  <c r="F56" i="9"/>
  <c r="F72" i="9"/>
  <c r="F88" i="9"/>
  <c r="F104" i="9"/>
  <c r="F120" i="9"/>
  <c r="F35" i="9"/>
  <c r="F51" i="9"/>
  <c r="F67" i="9"/>
  <c r="F83" i="9"/>
  <c r="F99" i="9"/>
  <c r="F115" i="9"/>
  <c r="F131" i="9"/>
  <c r="F53" i="9"/>
  <c r="F69" i="9"/>
  <c r="F85" i="9"/>
  <c r="F101" i="9"/>
  <c r="F117" i="9"/>
  <c r="F36" i="9"/>
  <c r="F52" i="9"/>
  <c r="F68" i="9"/>
  <c r="F84" i="9"/>
  <c r="F100" i="9"/>
  <c r="F116" i="9"/>
  <c r="F132" i="9"/>
  <c r="F47" i="9"/>
  <c r="F63" i="9"/>
  <c r="F79" i="9"/>
  <c r="F95" i="9"/>
  <c r="F111" i="9"/>
  <c r="F127" i="9"/>
  <c r="F49" i="9"/>
  <c r="F65" i="9"/>
  <c r="F81" i="9"/>
  <c r="F97" i="9"/>
  <c r="F113" i="9"/>
  <c r="F129" i="9"/>
  <c r="F48" i="9"/>
  <c r="F64" i="9"/>
  <c r="F80" i="9"/>
  <c r="F96" i="9"/>
  <c r="F112" i="9"/>
  <c r="F128" i="9"/>
  <c r="F43" i="9"/>
  <c r="F59" i="9"/>
  <c r="F75" i="9"/>
  <c r="F91" i="9"/>
  <c r="F107" i="9"/>
  <c r="F123" i="9"/>
  <c r="F45" i="9"/>
  <c r="F61" i="9"/>
  <c r="F77" i="9"/>
  <c r="F93" i="9"/>
  <c r="F109" i="9"/>
  <c r="F125" i="9"/>
  <c r="F44" i="9"/>
  <c r="F60" i="9"/>
  <c r="F76" i="9"/>
  <c r="F92" i="9"/>
  <c r="F108" i="9"/>
  <c r="F124" i="9"/>
  <c r="F39" i="9"/>
  <c r="F55" i="9"/>
  <c r="F71" i="9"/>
  <c r="F87" i="9"/>
  <c r="F103" i="9"/>
  <c r="F119" i="9"/>
  <c r="G44" i="9"/>
  <c r="D30" i="9"/>
  <c r="G41" i="9"/>
  <c r="G30" i="9"/>
  <c r="F37" i="9"/>
  <c r="G38" i="9"/>
  <c r="F41" i="9"/>
  <c r="E211" i="3"/>
  <c r="H211" i="3"/>
  <c r="F210" i="3"/>
  <c r="H210" i="3"/>
  <c r="I210" i="3"/>
  <c r="F48" i="7"/>
  <c r="F64" i="7"/>
  <c r="F80" i="7"/>
  <c r="F96" i="7"/>
  <c r="F112" i="7"/>
  <c r="F128" i="7"/>
  <c r="F58" i="7"/>
  <c r="F74" i="7"/>
  <c r="F90" i="7"/>
  <c r="F106" i="7"/>
  <c r="F122" i="7"/>
  <c r="F138" i="7"/>
  <c r="F60" i="7"/>
  <c r="F76" i="7"/>
  <c r="F92" i="7"/>
  <c r="F108" i="7"/>
  <c r="F124" i="7"/>
  <c r="F140" i="7"/>
  <c r="F54" i="7"/>
  <c r="F70" i="7"/>
  <c r="F86" i="7"/>
  <c r="F102" i="7"/>
  <c r="F118" i="7"/>
  <c r="F134" i="7"/>
  <c r="F56" i="7"/>
  <c r="F72" i="7"/>
  <c r="F88" i="7"/>
  <c r="F104" i="7"/>
  <c r="F120" i="7"/>
  <c r="F136" i="7"/>
  <c r="F50" i="7"/>
  <c r="F66" i="7"/>
  <c r="F82" i="7"/>
  <c r="F98" i="7"/>
  <c r="F114" i="7"/>
  <c r="F130" i="7"/>
  <c r="F68" i="7"/>
  <c r="F84" i="7"/>
  <c r="F100" i="7"/>
  <c r="F116" i="7"/>
  <c r="F132" i="7"/>
  <c r="F46" i="7"/>
  <c r="F62" i="7"/>
  <c r="F78" i="7"/>
  <c r="F94" i="7"/>
  <c r="F110" i="7"/>
  <c r="F126" i="7"/>
  <c r="F142" i="7"/>
  <c r="B218" i="3"/>
  <c r="B216" i="3"/>
  <c r="G210" i="3"/>
  <c r="G49" i="7"/>
  <c r="G55" i="7"/>
  <c r="D41" i="7"/>
  <c r="G52" i="7"/>
  <c r="F52" i="7"/>
  <c r="G41" i="7"/>
  <c r="F41" i="6"/>
  <c r="F57" i="6"/>
  <c r="F73" i="6"/>
  <c r="F89" i="6"/>
  <c r="F105" i="6"/>
  <c r="F121" i="6"/>
  <c r="F35" i="6"/>
  <c r="F51" i="6"/>
  <c r="F67" i="6"/>
  <c r="F83" i="6"/>
  <c r="F99" i="6"/>
  <c r="F115" i="6"/>
  <c r="F131" i="6"/>
  <c r="F37" i="6"/>
  <c r="F53" i="6"/>
  <c r="F69" i="6"/>
  <c r="F85" i="6"/>
  <c r="F101" i="6"/>
  <c r="F117" i="6"/>
  <c r="F47" i="6"/>
  <c r="F63" i="6"/>
  <c r="F79" i="6"/>
  <c r="F95" i="6"/>
  <c r="F111" i="6"/>
  <c r="F127" i="6"/>
  <c r="F49" i="6"/>
  <c r="F65" i="6"/>
  <c r="F81" i="6"/>
  <c r="F97" i="6"/>
  <c r="F113" i="6"/>
  <c r="F129" i="6"/>
  <c r="F43" i="6"/>
  <c r="F59" i="6"/>
  <c r="F75" i="6"/>
  <c r="F91" i="6"/>
  <c r="F107" i="6"/>
  <c r="F123" i="6"/>
  <c r="F45" i="6"/>
  <c r="F61" i="6"/>
  <c r="F77" i="6"/>
  <c r="F93" i="6"/>
  <c r="F109" i="6"/>
  <c r="F125" i="6"/>
  <c r="F39" i="6"/>
  <c r="F55" i="6"/>
  <c r="F71" i="6"/>
  <c r="F87" i="6"/>
  <c r="F103" i="6"/>
  <c r="F119" i="6"/>
  <c r="G30" i="6"/>
  <c r="G41" i="6"/>
  <c r="D30" i="6"/>
  <c r="F33" i="6"/>
  <c r="G44" i="6"/>
  <c r="G38" i="6"/>
  <c r="M7" i="3"/>
  <c r="P16" i="3"/>
  <c r="M6" i="3"/>
  <c r="I6" i="3"/>
  <c r="F6" i="3"/>
  <c r="G6" i="3"/>
  <c r="E7" i="3"/>
  <c r="E624" i="3"/>
  <c r="F624" i="3"/>
  <c r="H623" i="3"/>
  <c r="I623" i="3"/>
  <c r="F623" i="3"/>
  <c r="G623" i="3"/>
  <c r="M632" i="3"/>
  <c r="O630" i="3"/>
  <c r="E110" i="3"/>
  <c r="F109" i="3"/>
  <c r="G109" i="3"/>
  <c r="H109" i="3"/>
  <c r="I109" i="3"/>
  <c r="E212" i="3"/>
  <c r="H212" i="3"/>
  <c r="I212" i="3"/>
  <c r="F523" i="3"/>
  <c r="G523" i="3"/>
  <c r="I211" i="3"/>
  <c r="F522" i="3"/>
  <c r="G522" i="3"/>
  <c r="H522" i="3"/>
  <c r="I522" i="3"/>
  <c r="E524" i="3"/>
  <c r="F524" i="3"/>
  <c r="G524" i="3"/>
  <c r="H523" i="3"/>
  <c r="I523" i="3"/>
  <c r="M521" i="3"/>
  <c r="M525" i="3"/>
  <c r="M522" i="3"/>
  <c r="G36" i="10"/>
  <c r="E423" i="3"/>
  <c r="H422" i="3"/>
  <c r="I422" i="3"/>
  <c r="F422" i="3"/>
  <c r="G422" i="3"/>
  <c r="G35" i="9"/>
  <c r="M420" i="3"/>
  <c r="M419" i="3"/>
  <c r="M423" i="3"/>
  <c r="P423" i="3"/>
  <c r="F211" i="3"/>
  <c r="G211" i="3"/>
  <c r="G46" i="7"/>
  <c r="P222" i="3"/>
  <c r="P214" i="3"/>
  <c r="F212" i="3"/>
  <c r="G212" i="3"/>
  <c r="P118" i="3"/>
  <c r="M112" i="3"/>
  <c r="G35" i="6"/>
  <c r="M10" i="3"/>
  <c r="M11" i="3"/>
  <c r="M12" i="3"/>
  <c r="M13" i="3"/>
  <c r="P10" i="3"/>
  <c r="H7" i="3"/>
  <c r="I7" i="3"/>
  <c r="E8" i="3"/>
  <c r="F7" i="3"/>
  <c r="G7" i="3"/>
  <c r="I313" i="3"/>
  <c r="F313" i="3"/>
  <c r="G313" i="3"/>
  <c r="E213" i="3"/>
  <c r="H624" i="3"/>
  <c r="I624" i="3"/>
  <c r="E625" i="3"/>
  <c r="H625" i="3"/>
  <c r="M633" i="3"/>
  <c r="O631" i="3"/>
  <c r="P525" i="3"/>
  <c r="M526" i="3"/>
  <c r="G624" i="3"/>
  <c r="E111" i="3"/>
  <c r="F110" i="3"/>
  <c r="G110" i="3"/>
  <c r="H110" i="3"/>
  <c r="I110" i="3"/>
  <c r="E525" i="3"/>
  <c r="F525" i="3"/>
  <c r="H524" i="3"/>
  <c r="I524" i="3"/>
  <c r="E424" i="3"/>
  <c r="H423" i="3"/>
  <c r="I423" i="3"/>
  <c r="M424" i="3"/>
  <c r="O423" i="3"/>
  <c r="F423" i="3"/>
  <c r="G423" i="3"/>
  <c r="H213" i="3"/>
  <c r="I213" i="3"/>
  <c r="M214" i="3"/>
  <c r="M215" i="3"/>
  <c r="M216" i="3"/>
  <c r="F213" i="3"/>
  <c r="G213" i="3"/>
  <c r="E214" i="3"/>
  <c r="M113" i="3"/>
  <c r="O112" i="3"/>
  <c r="P112" i="3"/>
  <c r="M14" i="3"/>
  <c r="M15" i="3"/>
  <c r="M16" i="3"/>
  <c r="M17" i="3"/>
  <c r="P13" i="3"/>
  <c r="O11" i="3"/>
  <c r="O10" i="3"/>
  <c r="N10" i="3"/>
  <c r="H8" i="3"/>
  <c r="I8" i="3"/>
  <c r="E9" i="3"/>
  <c r="F8" i="3"/>
  <c r="G8" i="3"/>
  <c r="F314" i="3"/>
  <c r="G314" i="3"/>
  <c r="I314" i="3"/>
  <c r="E626" i="3"/>
  <c r="H626" i="3"/>
  <c r="F625" i="3"/>
  <c r="E627" i="3"/>
  <c r="F626" i="3"/>
  <c r="M634" i="3"/>
  <c r="O633" i="3"/>
  <c r="O632" i="3"/>
  <c r="M527" i="3"/>
  <c r="O525" i="3"/>
  <c r="N525" i="3"/>
  <c r="I625" i="3"/>
  <c r="G625" i="3"/>
  <c r="N627" i="3"/>
  <c r="E112" i="3"/>
  <c r="F111" i="3"/>
  <c r="G111" i="3"/>
  <c r="H111" i="3"/>
  <c r="I111" i="3"/>
  <c r="E526" i="3"/>
  <c r="F526" i="3"/>
  <c r="H525" i="3"/>
  <c r="I525" i="3"/>
  <c r="G525" i="3"/>
  <c r="E425" i="3"/>
  <c r="H424" i="3"/>
  <c r="I424" i="3"/>
  <c r="M425" i="3"/>
  <c r="F424" i="3"/>
  <c r="G424" i="3"/>
  <c r="H214" i="3"/>
  <c r="I214" i="3"/>
  <c r="M217" i="3"/>
  <c r="O215" i="3"/>
  <c r="F214" i="3"/>
  <c r="G214" i="3"/>
  <c r="E215" i="3"/>
  <c r="M114" i="3"/>
  <c r="N112" i="3"/>
  <c r="N11" i="3"/>
  <c r="O12" i="3"/>
  <c r="N12" i="3"/>
  <c r="H9" i="3"/>
  <c r="I9" i="3"/>
  <c r="E10" i="3"/>
  <c r="F9" i="3"/>
  <c r="G9" i="3"/>
  <c r="F315" i="3"/>
  <c r="G315" i="3"/>
  <c r="I315" i="3"/>
  <c r="E628" i="3"/>
  <c r="H627" i="3"/>
  <c r="F627" i="3"/>
  <c r="M528" i="3"/>
  <c r="P528" i="3"/>
  <c r="O526" i="3"/>
  <c r="N526" i="3"/>
  <c r="I626" i="3"/>
  <c r="G626" i="3"/>
  <c r="N628" i="3"/>
  <c r="P630" i="3"/>
  <c r="N629" i="3"/>
  <c r="E113" i="3"/>
  <c r="F112" i="3"/>
  <c r="G112" i="3"/>
  <c r="H112" i="3"/>
  <c r="I112" i="3"/>
  <c r="G526" i="3"/>
  <c r="E527" i="3"/>
  <c r="F527" i="3"/>
  <c r="H526" i="3"/>
  <c r="I526" i="3"/>
  <c r="E426" i="3"/>
  <c r="H425" i="3"/>
  <c r="I425" i="3"/>
  <c r="M426" i="3"/>
  <c r="O424" i="3"/>
  <c r="F425" i="3"/>
  <c r="G425" i="3"/>
  <c r="H215" i="3"/>
  <c r="I215" i="3"/>
  <c r="M218" i="3"/>
  <c r="O216" i="3"/>
  <c r="N216" i="3"/>
  <c r="O214" i="3"/>
  <c r="N214" i="3"/>
  <c r="F215" i="3"/>
  <c r="G215" i="3"/>
  <c r="E216" i="3"/>
  <c r="M115" i="3"/>
  <c r="O113" i="3"/>
  <c r="N113" i="3"/>
  <c r="O13" i="3"/>
  <c r="N13" i="3"/>
  <c r="H10" i="3"/>
  <c r="I10" i="3"/>
  <c r="E11" i="3"/>
  <c r="F10" i="3"/>
  <c r="G10" i="3"/>
  <c r="F316" i="3"/>
  <c r="G316" i="3"/>
  <c r="I316" i="3"/>
  <c r="E629" i="3"/>
  <c r="H628" i="3"/>
  <c r="F628" i="3"/>
  <c r="M529" i="3"/>
  <c r="O527" i="3"/>
  <c r="N527" i="3"/>
  <c r="G627" i="3"/>
  <c r="I627" i="3"/>
  <c r="N630" i="3"/>
  <c r="E114" i="3"/>
  <c r="F113" i="3"/>
  <c r="G113" i="3"/>
  <c r="H113" i="3"/>
  <c r="I113" i="3"/>
  <c r="E528" i="3"/>
  <c r="H527" i="3"/>
  <c r="I527" i="3"/>
  <c r="G527" i="3"/>
  <c r="E427" i="3"/>
  <c r="H426" i="3"/>
  <c r="I426" i="3"/>
  <c r="P426" i="3"/>
  <c r="O425" i="3"/>
  <c r="N425" i="3"/>
  <c r="M427" i="3"/>
  <c r="F426" i="3"/>
  <c r="G426" i="3"/>
  <c r="H216" i="3"/>
  <c r="I216" i="3"/>
  <c r="M219" i="3"/>
  <c r="O217" i="3"/>
  <c r="N217" i="3"/>
  <c r="F216" i="3"/>
  <c r="G216" i="3"/>
  <c r="E217" i="3"/>
  <c r="M116" i="3"/>
  <c r="O114" i="3"/>
  <c r="N114" i="3"/>
  <c r="O14" i="3"/>
  <c r="N14" i="3"/>
  <c r="H11" i="3"/>
  <c r="I11" i="3"/>
  <c r="E12" i="3"/>
  <c r="F11" i="3"/>
  <c r="G11" i="3"/>
  <c r="F317" i="3"/>
  <c r="G317" i="3"/>
  <c r="I317" i="3"/>
  <c r="E630" i="3"/>
  <c r="F629" i="3"/>
  <c r="H629" i="3"/>
  <c r="M530" i="3"/>
  <c r="O528" i="3"/>
  <c r="N528" i="3"/>
  <c r="I628" i="3"/>
  <c r="G628" i="3"/>
  <c r="N631" i="3"/>
  <c r="E115" i="3"/>
  <c r="H114" i="3"/>
  <c r="I114" i="3"/>
  <c r="F114" i="3"/>
  <c r="G114" i="3"/>
  <c r="E529" i="3"/>
  <c r="F529" i="3"/>
  <c r="G529" i="3"/>
  <c r="H528" i="3"/>
  <c r="I528" i="3"/>
  <c r="F528" i="3"/>
  <c r="G528" i="3"/>
  <c r="E428" i="3"/>
  <c r="H427" i="3"/>
  <c r="I427" i="3"/>
  <c r="M428" i="3"/>
  <c r="O426" i="3"/>
  <c r="N426" i="3"/>
  <c r="F427" i="3"/>
  <c r="G427" i="3"/>
  <c r="H217" i="3"/>
  <c r="I217" i="3"/>
  <c r="M220" i="3"/>
  <c r="O218" i="3"/>
  <c r="N218" i="3"/>
  <c r="P218" i="3"/>
  <c r="N215" i="3"/>
  <c r="F217" i="3"/>
  <c r="G217" i="3"/>
  <c r="E218" i="3"/>
  <c r="M117" i="3"/>
  <c r="O115" i="3"/>
  <c r="N115" i="3"/>
  <c r="O15" i="3"/>
  <c r="N15" i="3"/>
  <c r="H12" i="3"/>
  <c r="I12" i="3"/>
  <c r="E13" i="3"/>
  <c r="F12" i="3"/>
  <c r="G12" i="3"/>
  <c r="I318" i="3"/>
  <c r="F318" i="3"/>
  <c r="G318" i="3"/>
  <c r="E631" i="3"/>
  <c r="H630" i="3"/>
  <c r="F630" i="3"/>
  <c r="M531" i="3"/>
  <c r="O529" i="3"/>
  <c r="N529" i="3"/>
  <c r="G629" i="3"/>
  <c r="I629" i="3"/>
  <c r="N632" i="3"/>
  <c r="E116" i="3"/>
  <c r="F115" i="3"/>
  <c r="G115" i="3"/>
  <c r="H115" i="3"/>
  <c r="I115" i="3"/>
  <c r="E530" i="3"/>
  <c r="F530" i="3"/>
  <c r="H529" i="3"/>
  <c r="I529" i="3"/>
  <c r="E429" i="3"/>
  <c r="H428" i="3"/>
  <c r="I428" i="3"/>
  <c r="M429" i="3"/>
  <c r="O427" i="3"/>
  <c r="N427" i="3"/>
  <c r="F428" i="3"/>
  <c r="G428" i="3"/>
  <c r="H218" i="3"/>
  <c r="I218" i="3"/>
  <c r="M221" i="3"/>
  <c r="O219" i="3"/>
  <c r="N219" i="3"/>
  <c r="F218" i="3"/>
  <c r="G218" i="3"/>
  <c r="E219" i="3"/>
  <c r="M118" i="3"/>
  <c r="O116" i="3"/>
  <c r="N116" i="3"/>
  <c r="O16" i="3"/>
  <c r="N16" i="3"/>
  <c r="H13" i="3"/>
  <c r="I13" i="3"/>
  <c r="E14" i="3"/>
  <c r="F13" i="3"/>
  <c r="G13" i="3"/>
  <c r="I319" i="3"/>
  <c r="F319" i="3"/>
  <c r="G319" i="3"/>
  <c r="E632" i="3"/>
  <c r="H631" i="3"/>
  <c r="F631" i="3"/>
  <c r="O530" i="3"/>
  <c r="N530" i="3"/>
  <c r="M532" i="3"/>
  <c r="O531" i="3"/>
  <c r="I630" i="3"/>
  <c r="G630" i="3"/>
  <c r="P633" i="3"/>
  <c r="E117" i="3"/>
  <c r="F116" i="3"/>
  <c r="G116" i="3"/>
  <c r="H116" i="3"/>
  <c r="I116" i="3"/>
  <c r="E531" i="3"/>
  <c r="F531" i="3"/>
  <c r="G531" i="3"/>
  <c r="H530" i="3"/>
  <c r="I530" i="3"/>
  <c r="G530" i="3"/>
  <c r="E430" i="3"/>
  <c r="H429" i="3"/>
  <c r="I429" i="3"/>
  <c r="M430" i="3"/>
  <c r="O428" i="3"/>
  <c r="N428" i="3"/>
  <c r="F429" i="3"/>
  <c r="G429" i="3"/>
  <c r="H219" i="3"/>
  <c r="I219" i="3"/>
  <c r="M222" i="3"/>
  <c r="O220" i="3"/>
  <c r="N220" i="3"/>
  <c r="F219" i="3"/>
  <c r="G219" i="3"/>
  <c r="E220" i="3"/>
  <c r="M119" i="3"/>
  <c r="O118" i="3"/>
  <c r="O117" i="3"/>
  <c r="N117" i="3"/>
  <c r="H14" i="3"/>
  <c r="I14" i="3"/>
  <c r="E15" i="3"/>
  <c r="F14" i="3"/>
  <c r="G14" i="3"/>
  <c r="I320" i="3"/>
  <c r="F320" i="3"/>
  <c r="G320" i="3"/>
  <c r="E633" i="3"/>
  <c r="H632" i="3"/>
  <c r="F632" i="3"/>
  <c r="P531" i="3"/>
  <c r="I631" i="3"/>
  <c r="G631" i="3"/>
  <c r="N633" i="3"/>
  <c r="N638" i="3"/>
  <c r="O638" i="3"/>
  <c r="E118" i="3"/>
  <c r="F117" i="3"/>
  <c r="G117" i="3"/>
  <c r="H117" i="3"/>
  <c r="I117" i="3"/>
  <c r="E532" i="3"/>
  <c r="F532" i="3"/>
  <c r="H531" i="3"/>
  <c r="I531" i="3"/>
  <c r="N531" i="3"/>
  <c r="N536" i="3"/>
  <c r="O536" i="3"/>
  <c r="E431" i="3"/>
  <c r="H430" i="3"/>
  <c r="I430" i="3"/>
  <c r="P429" i="3"/>
  <c r="O429" i="3"/>
  <c r="N429" i="3"/>
  <c r="F430" i="3"/>
  <c r="G430" i="3"/>
  <c r="H220" i="3"/>
  <c r="I220" i="3"/>
  <c r="M223" i="3"/>
  <c r="O222" i="3"/>
  <c r="O221" i="3"/>
  <c r="N221" i="3"/>
  <c r="F220" i="3"/>
  <c r="G220" i="3"/>
  <c r="E221" i="3"/>
  <c r="N118" i="3"/>
  <c r="N123" i="3"/>
  <c r="O123" i="3"/>
  <c r="H15" i="3"/>
  <c r="I15" i="3"/>
  <c r="E16" i="3"/>
  <c r="F15" i="3"/>
  <c r="G15" i="3"/>
  <c r="F321" i="3"/>
  <c r="G321" i="3"/>
  <c r="I321" i="3"/>
  <c r="E634" i="3"/>
  <c r="H633" i="3"/>
  <c r="F633" i="3"/>
  <c r="I632" i="3"/>
  <c r="G632" i="3"/>
  <c r="E119" i="3"/>
  <c r="H118" i="3"/>
  <c r="I118" i="3"/>
  <c r="F118" i="3"/>
  <c r="G118" i="3"/>
  <c r="E533" i="3"/>
  <c r="F533" i="3"/>
  <c r="G533" i="3"/>
  <c r="H532" i="3"/>
  <c r="I532" i="3"/>
  <c r="G532" i="3"/>
  <c r="E432" i="3"/>
  <c r="H431" i="3"/>
  <c r="I431" i="3"/>
  <c r="F431" i="3"/>
  <c r="G431" i="3"/>
  <c r="H221" i="3"/>
  <c r="I221" i="3"/>
  <c r="N222" i="3"/>
  <c r="N225" i="3"/>
  <c r="O225" i="3"/>
  <c r="F221" i="3"/>
  <c r="G221" i="3"/>
  <c r="E222" i="3"/>
  <c r="H16" i="3"/>
  <c r="I16" i="3"/>
  <c r="E17" i="3"/>
  <c r="F16" i="3"/>
  <c r="G16" i="3"/>
  <c r="F322" i="3"/>
  <c r="G322" i="3"/>
  <c r="I322" i="3"/>
  <c r="E635" i="3"/>
  <c r="H634" i="3"/>
  <c r="F634" i="3"/>
  <c r="I633" i="3"/>
  <c r="G633" i="3"/>
  <c r="E120" i="3"/>
  <c r="F119" i="3"/>
  <c r="G119" i="3"/>
  <c r="H119" i="3"/>
  <c r="I119" i="3"/>
  <c r="E534" i="3"/>
  <c r="F534" i="3"/>
  <c r="H533" i="3"/>
  <c r="I533" i="3"/>
  <c r="E433" i="3"/>
  <c r="H432" i="3"/>
  <c r="I432" i="3"/>
  <c r="N423" i="3"/>
  <c r="O434" i="3"/>
  <c r="N424" i="3"/>
  <c r="F432" i="3"/>
  <c r="G432" i="3"/>
  <c r="H222" i="3"/>
  <c r="I222" i="3"/>
  <c r="F222" i="3"/>
  <c r="G222" i="3"/>
  <c r="E223" i="3"/>
  <c r="O21" i="3"/>
  <c r="N21" i="3"/>
  <c r="H17" i="3"/>
  <c r="I17" i="3"/>
  <c r="E18" i="3"/>
  <c r="F17" i="3"/>
  <c r="G17" i="3"/>
  <c r="F323" i="3"/>
  <c r="G323" i="3"/>
  <c r="I323" i="3"/>
  <c r="E636" i="3"/>
  <c r="H635" i="3"/>
  <c r="F635" i="3"/>
  <c r="G634" i="3"/>
  <c r="I634" i="3"/>
  <c r="E121" i="3"/>
  <c r="F120" i="3"/>
  <c r="G120" i="3"/>
  <c r="H120" i="3"/>
  <c r="I120" i="3"/>
  <c r="E535" i="3"/>
  <c r="F535" i="3"/>
  <c r="H534" i="3"/>
  <c r="I534" i="3"/>
  <c r="G534" i="3"/>
  <c r="E434" i="3"/>
  <c r="H433" i="3"/>
  <c r="I433" i="3"/>
  <c r="N434" i="3"/>
  <c r="F433" i="3"/>
  <c r="G433" i="3"/>
  <c r="H223" i="3"/>
  <c r="I223" i="3"/>
  <c r="F223" i="3"/>
  <c r="G223" i="3"/>
  <c r="E224" i="3"/>
  <c r="H18" i="3"/>
  <c r="I18" i="3"/>
  <c r="E19" i="3"/>
  <c r="F18" i="3"/>
  <c r="G18" i="3"/>
  <c r="F324" i="3"/>
  <c r="G324" i="3"/>
  <c r="E637" i="3"/>
  <c r="F636" i="3"/>
  <c r="H636" i="3"/>
  <c r="I635" i="3"/>
  <c r="G635" i="3"/>
  <c r="E122" i="3"/>
  <c r="H121" i="3"/>
  <c r="I121" i="3"/>
  <c r="F121" i="3"/>
  <c r="G121" i="3"/>
  <c r="G535" i="3"/>
  <c r="E536" i="3"/>
  <c r="F536" i="3"/>
  <c r="H535" i="3"/>
  <c r="I535" i="3"/>
  <c r="E435" i="3"/>
  <c r="H434" i="3"/>
  <c r="I434" i="3"/>
  <c r="F434" i="3"/>
  <c r="G434" i="3"/>
  <c r="H224" i="3"/>
  <c r="I224" i="3"/>
  <c r="F224" i="3"/>
  <c r="G224" i="3"/>
  <c r="E225" i="3"/>
  <c r="H19" i="3"/>
  <c r="I19" i="3"/>
  <c r="E20" i="3"/>
  <c r="F19" i="3"/>
  <c r="G19" i="3"/>
  <c r="F325" i="3"/>
  <c r="I325" i="3"/>
  <c r="G325" i="3"/>
  <c r="I324" i="3"/>
  <c r="E638" i="3"/>
  <c r="H637" i="3"/>
  <c r="F637" i="3"/>
  <c r="I636" i="3"/>
  <c r="G636" i="3"/>
  <c r="E123" i="3"/>
  <c r="H122" i="3"/>
  <c r="I122" i="3"/>
  <c r="F122" i="3"/>
  <c r="G122" i="3"/>
  <c r="G536" i="3"/>
  <c r="E537" i="3"/>
  <c r="F537" i="3"/>
  <c r="H536" i="3"/>
  <c r="I536" i="3"/>
  <c r="E436" i="3"/>
  <c r="H435" i="3"/>
  <c r="I435" i="3"/>
  <c r="F435" i="3"/>
  <c r="G435" i="3"/>
  <c r="H225" i="3"/>
  <c r="I225" i="3"/>
  <c r="F225" i="3"/>
  <c r="G225" i="3"/>
  <c r="E226" i="3"/>
  <c r="H20" i="3"/>
  <c r="I20" i="3"/>
  <c r="E21" i="3"/>
  <c r="F20" i="3"/>
  <c r="G20" i="3"/>
  <c r="F326" i="3"/>
  <c r="G326" i="3"/>
  <c r="I326" i="3"/>
  <c r="F133" i="8"/>
  <c r="F38" i="8"/>
  <c r="F50" i="8"/>
  <c r="F41" i="8"/>
  <c r="F95" i="8"/>
  <c r="E639" i="3"/>
  <c r="H638" i="3"/>
  <c r="F638" i="3"/>
  <c r="I637" i="3"/>
  <c r="G637" i="3"/>
  <c r="E124" i="3"/>
  <c r="F123" i="3"/>
  <c r="G123" i="3"/>
  <c r="H123" i="3"/>
  <c r="I123" i="3"/>
  <c r="E538" i="3"/>
  <c r="F538" i="3"/>
  <c r="G538" i="3"/>
  <c r="H537" i="3"/>
  <c r="I537" i="3"/>
  <c r="G537" i="3"/>
  <c r="E437" i="3"/>
  <c r="H436" i="3"/>
  <c r="I436" i="3"/>
  <c r="F436" i="3"/>
  <c r="G436" i="3"/>
  <c r="H226" i="3"/>
  <c r="I226" i="3"/>
  <c r="E227" i="3"/>
  <c r="F226" i="3"/>
  <c r="G226" i="3"/>
  <c r="H21" i="3"/>
  <c r="I21" i="3"/>
  <c r="E22" i="3"/>
  <c r="F21" i="3"/>
  <c r="G21" i="3"/>
  <c r="I327" i="3"/>
  <c r="F327" i="3"/>
  <c r="G327" i="3"/>
  <c r="E640" i="3"/>
  <c r="H639" i="3"/>
  <c r="F639" i="3"/>
  <c r="I638" i="3"/>
  <c r="G638" i="3"/>
  <c r="E125" i="3"/>
  <c r="F124" i="3"/>
  <c r="G124" i="3"/>
  <c r="H124" i="3"/>
  <c r="I124" i="3"/>
  <c r="E539" i="3"/>
  <c r="F539" i="3"/>
  <c r="H538" i="3"/>
  <c r="I538" i="3"/>
  <c r="E438" i="3"/>
  <c r="H437" i="3"/>
  <c r="I437" i="3"/>
  <c r="F437" i="3"/>
  <c r="G437" i="3"/>
  <c r="H227" i="3"/>
  <c r="I227" i="3"/>
  <c r="E228" i="3"/>
  <c r="F227" i="3"/>
  <c r="G227" i="3"/>
  <c r="H22" i="3"/>
  <c r="I22" i="3"/>
  <c r="E23" i="3"/>
  <c r="F22" i="3"/>
  <c r="G22" i="3"/>
  <c r="I328" i="3"/>
  <c r="F328" i="3"/>
  <c r="G328" i="3"/>
  <c r="E641" i="3"/>
  <c r="H640" i="3"/>
  <c r="F640" i="3"/>
  <c r="G639" i="3"/>
  <c r="I639" i="3"/>
  <c r="E126" i="3"/>
  <c r="F125" i="3"/>
  <c r="G125" i="3"/>
  <c r="H125" i="3"/>
  <c r="I125" i="3"/>
  <c r="E540" i="3"/>
  <c r="F540" i="3"/>
  <c r="G540" i="3"/>
  <c r="H539" i="3"/>
  <c r="I539" i="3"/>
  <c r="G539" i="3"/>
  <c r="E439" i="3"/>
  <c r="H438" i="3"/>
  <c r="I438" i="3"/>
  <c r="F438" i="3"/>
  <c r="G438" i="3"/>
  <c r="H228" i="3"/>
  <c r="I228" i="3"/>
  <c r="E229" i="3"/>
  <c r="F228" i="3"/>
  <c r="G228" i="3"/>
  <c r="H23" i="3"/>
  <c r="I23" i="3"/>
  <c r="E24" i="3"/>
  <c r="F23" i="3"/>
  <c r="G23" i="3"/>
  <c r="F329" i="3"/>
  <c r="G329" i="3"/>
  <c r="F91" i="8"/>
  <c r="E642" i="3"/>
  <c r="F641" i="3"/>
  <c r="H641" i="3"/>
  <c r="I640" i="3"/>
  <c r="G640" i="3"/>
  <c r="E127" i="3"/>
  <c r="F126" i="3"/>
  <c r="G126" i="3"/>
  <c r="H126" i="3"/>
  <c r="I126" i="3"/>
  <c r="E541" i="3"/>
  <c r="F541" i="3"/>
  <c r="H540" i="3"/>
  <c r="I540" i="3"/>
  <c r="E440" i="3"/>
  <c r="H439" i="3"/>
  <c r="I439" i="3"/>
  <c r="F439" i="3"/>
  <c r="G439" i="3"/>
  <c r="H229" i="3"/>
  <c r="I229" i="3"/>
  <c r="E230" i="3"/>
  <c r="F229" i="3"/>
  <c r="G229" i="3"/>
  <c r="H24" i="3"/>
  <c r="I24" i="3"/>
  <c r="E25" i="3"/>
  <c r="F24" i="3"/>
  <c r="G24" i="3"/>
  <c r="F330" i="3"/>
  <c r="G330" i="3"/>
  <c r="I330" i="3"/>
  <c r="I329" i="3"/>
  <c r="F52" i="8"/>
  <c r="F124" i="8"/>
  <c r="E643" i="3"/>
  <c r="H642" i="3"/>
  <c r="F642" i="3"/>
  <c r="I641" i="3"/>
  <c r="G641" i="3"/>
  <c r="E128" i="3"/>
  <c r="F127" i="3"/>
  <c r="G127" i="3"/>
  <c r="H127" i="3"/>
  <c r="I127" i="3"/>
  <c r="E542" i="3"/>
  <c r="F542" i="3"/>
  <c r="G542" i="3"/>
  <c r="H541" i="3"/>
  <c r="I541" i="3"/>
  <c r="G541" i="3"/>
  <c r="E441" i="3"/>
  <c r="H440" i="3"/>
  <c r="I440" i="3"/>
  <c r="F440" i="3"/>
  <c r="G440" i="3"/>
  <c r="H230" i="3"/>
  <c r="I230" i="3"/>
  <c r="E231" i="3"/>
  <c r="F230" i="3"/>
  <c r="G230" i="3"/>
  <c r="H25" i="3"/>
  <c r="I25" i="3"/>
  <c r="E26" i="3"/>
  <c r="F25" i="3"/>
  <c r="G25" i="3"/>
  <c r="I331" i="3"/>
  <c r="F331" i="3"/>
  <c r="G331" i="3"/>
  <c r="E644" i="3"/>
  <c r="H643" i="3"/>
  <c r="F643" i="3"/>
  <c r="I642" i="3"/>
  <c r="G642" i="3"/>
  <c r="E129" i="3"/>
  <c r="F128" i="3"/>
  <c r="G128" i="3"/>
  <c r="H128" i="3"/>
  <c r="I128" i="3"/>
  <c r="E543" i="3"/>
  <c r="H542" i="3"/>
  <c r="I542" i="3"/>
  <c r="E442" i="3"/>
  <c r="H441" i="3"/>
  <c r="I441" i="3"/>
  <c r="F441" i="3"/>
  <c r="G441" i="3"/>
  <c r="H231" i="3"/>
  <c r="I231" i="3"/>
  <c r="E232" i="3"/>
  <c r="F231" i="3"/>
  <c r="G231" i="3"/>
  <c r="H26" i="3"/>
  <c r="I26" i="3"/>
  <c r="E27" i="3"/>
  <c r="F26" i="3"/>
  <c r="G26" i="3"/>
  <c r="F123" i="8"/>
  <c r="F74" i="8"/>
  <c r="F66" i="8"/>
  <c r="F114" i="8"/>
  <c r="F102" i="8"/>
  <c r="F92" i="8"/>
  <c r="F46" i="8"/>
  <c r="F58" i="8"/>
  <c r="F100" i="8"/>
  <c r="F72" i="8"/>
  <c r="F40" i="8"/>
  <c r="F89" i="8"/>
  <c r="F63" i="8"/>
  <c r="F45" i="8"/>
  <c r="F81" i="8"/>
  <c r="F80" i="8"/>
  <c r="F56" i="8"/>
  <c r="F129" i="8"/>
  <c r="F104" i="8"/>
  <c r="F121" i="8"/>
  <c r="F85" i="8"/>
  <c r="F57" i="8"/>
  <c r="F36" i="8"/>
  <c r="F78" i="8"/>
  <c r="F119" i="8"/>
  <c r="F48" i="8"/>
  <c r="F122" i="8"/>
  <c r="F49" i="8"/>
  <c r="F43" i="8"/>
  <c r="F332" i="3"/>
  <c r="G332" i="3"/>
  <c r="I332" i="3"/>
  <c r="F127" i="8"/>
  <c r="F69" i="8"/>
  <c r="F90" i="8"/>
  <c r="F97" i="8"/>
  <c r="F93" i="8"/>
  <c r="F62" i="8"/>
  <c r="F68" i="8"/>
  <c r="F83" i="8"/>
  <c r="F42" i="8"/>
  <c r="E645" i="3"/>
  <c r="H644" i="3"/>
  <c r="F644" i="3"/>
  <c r="G643" i="3"/>
  <c r="I643" i="3"/>
  <c r="E130" i="3"/>
  <c r="H129" i="3"/>
  <c r="I129" i="3"/>
  <c r="F129" i="3"/>
  <c r="G129" i="3"/>
  <c r="E544" i="3"/>
  <c r="F544" i="3"/>
  <c r="G544" i="3"/>
  <c r="H543" i="3"/>
  <c r="I543" i="3"/>
  <c r="F543" i="3"/>
  <c r="G543" i="3"/>
  <c r="E443" i="3"/>
  <c r="H442" i="3"/>
  <c r="I442" i="3"/>
  <c r="F442" i="3"/>
  <c r="G442" i="3"/>
  <c r="H232" i="3"/>
  <c r="I232" i="3"/>
  <c r="E233" i="3"/>
  <c r="F232" i="3"/>
  <c r="G232" i="3"/>
  <c r="H27" i="3"/>
  <c r="I27" i="3"/>
  <c r="E28" i="3"/>
  <c r="F27" i="3"/>
  <c r="G27" i="3"/>
  <c r="F333" i="3"/>
  <c r="G333" i="3"/>
  <c r="E646" i="3"/>
  <c r="F645" i="3"/>
  <c r="H645" i="3"/>
  <c r="I644" i="3"/>
  <c r="G644" i="3"/>
  <c r="E131" i="3"/>
  <c r="F130" i="3"/>
  <c r="G130" i="3"/>
  <c r="H130" i="3"/>
  <c r="I130" i="3"/>
  <c r="E545" i="3"/>
  <c r="H544" i="3"/>
  <c r="I544" i="3"/>
  <c r="E444" i="3"/>
  <c r="H443" i="3"/>
  <c r="I443" i="3"/>
  <c r="F443" i="3"/>
  <c r="G443" i="3"/>
  <c r="H233" i="3"/>
  <c r="I233" i="3"/>
  <c r="E234" i="3"/>
  <c r="F233" i="3"/>
  <c r="G233" i="3"/>
  <c r="H28" i="3"/>
  <c r="I28" i="3"/>
  <c r="E29" i="3"/>
  <c r="F28" i="3"/>
  <c r="G28" i="3"/>
  <c r="I333" i="3"/>
  <c r="I334" i="3"/>
  <c r="F334" i="3"/>
  <c r="G334" i="3"/>
  <c r="E647" i="3"/>
  <c r="H646" i="3"/>
  <c r="F646" i="3"/>
  <c r="G645" i="3"/>
  <c r="I645" i="3"/>
  <c r="E132" i="3"/>
  <c r="F131" i="3"/>
  <c r="G131" i="3"/>
  <c r="H131" i="3"/>
  <c r="I131" i="3"/>
  <c r="E546" i="3"/>
  <c r="H545" i="3"/>
  <c r="I545" i="3"/>
  <c r="F545" i="3"/>
  <c r="G545" i="3"/>
  <c r="E445" i="3"/>
  <c r="H444" i="3"/>
  <c r="I444" i="3"/>
  <c r="F444" i="3"/>
  <c r="G444" i="3"/>
  <c r="H234" i="3"/>
  <c r="I234" i="3"/>
  <c r="E235" i="3"/>
  <c r="F234" i="3"/>
  <c r="G234" i="3"/>
  <c r="H29" i="3"/>
  <c r="I29" i="3"/>
  <c r="E30" i="3"/>
  <c r="F29" i="3"/>
  <c r="G29" i="3"/>
  <c r="F128" i="8"/>
  <c r="F111" i="8"/>
  <c r="F39" i="8"/>
  <c r="F47" i="8"/>
  <c r="F71" i="8"/>
  <c r="F125" i="8"/>
  <c r="F112" i="8"/>
  <c r="F336" i="3"/>
  <c r="G336" i="3"/>
  <c r="I336" i="3"/>
  <c r="F335" i="3"/>
  <c r="G335" i="3"/>
  <c r="E648" i="3"/>
  <c r="H647" i="3"/>
  <c r="F647" i="3"/>
  <c r="I646" i="3"/>
  <c r="G646" i="3"/>
  <c r="E133" i="3"/>
  <c r="F132" i="3"/>
  <c r="G132" i="3"/>
  <c r="H132" i="3"/>
  <c r="I132" i="3"/>
  <c r="E547" i="3"/>
  <c r="F547" i="3"/>
  <c r="G547" i="3"/>
  <c r="H546" i="3"/>
  <c r="I546" i="3"/>
  <c r="F546" i="3"/>
  <c r="G546" i="3"/>
  <c r="E446" i="3"/>
  <c r="H445" i="3"/>
  <c r="I445" i="3"/>
  <c r="F445" i="3"/>
  <c r="G445" i="3"/>
  <c r="H235" i="3"/>
  <c r="I235" i="3"/>
  <c r="E236" i="3"/>
  <c r="F235" i="3"/>
  <c r="G235" i="3"/>
  <c r="H30" i="3"/>
  <c r="I30" i="3"/>
  <c r="E31" i="3"/>
  <c r="F30" i="3"/>
  <c r="G30" i="3"/>
  <c r="I335" i="3"/>
  <c r="E649" i="3"/>
  <c r="H648" i="3"/>
  <c r="F648" i="3"/>
  <c r="I647" i="3"/>
  <c r="G647" i="3"/>
  <c r="E134" i="3"/>
  <c r="F133" i="3"/>
  <c r="G133" i="3"/>
  <c r="H133" i="3"/>
  <c r="I133" i="3"/>
  <c r="E548" i="3"/>
  <c r="H547" i="3"/>
  <c r="I547" i="3"/>
  <c r="E447" i="3"/>
  <c r="H446" i="3"/>
  <c r="I446" i="3"/>
  <c r="F446" i="3"/>
  <c r="G446" i="3"/>
  <c r="H236" i="3"/>
  <c r="I236" i="3"/>
  <c r="E237" i="3"/>
  <c r="F236" i="3"/>
  <c r="G236" i="3"/>
  <c r="H31" i="3"/>
  <c r="I31" i="3"/>
  <c r="E32" i="3"/>
  <c r="F31" i="3"/>
  <c r="G31" i="3"/>
  <c r="F86" i="8"/>
  <c r="F35" i="8"/>
  <c r="F110" i="8"/>
  <c r="F34" i="8"/>
  <c r="F106" i="8"/>
  <c r="F126" i="8"/>
  <c r="F107" i="8"/>
  <c r="F75" i="8"/>
  <c r="F120" i="8"/>
  <c r="F61" i="8"/>
  <c r="F37" i="8"/>
  <c r="F70" i="8"/>
  <c r="F94" i="8"/>
  <c r="F98" i="8"/>
  <c r="F113" i="8"/>
  <c r="F84" i="8"/>
  <c r="F51" i="8"/>
  <c r="F109" i="8"/>
  <c r="F76" i="8"/>
  <c r="F59" i="8"/>
  <c r="F67" i="8"/>
  <c r="F132" i="8"/>
  <c r="F77" i="8"/>
  <c r="F130" i="8"/>
  <c r="F99" i="8"/>
  <c r="F79" i="8"/>
  <c r="F117" i="8"/>
  <c r="F73" i="8"/>
  <c r="F88" i="8"/>
  <c r="F105" i="8"/>
  <c r="F118" i="8"/>
  <c r="F101" i="8"/>
  <c r="F103" i="8"/>
  <c r="F54" i="8"/>
  <c r="F115" i="8"/>
  <c r="F55" i="8"/>
  <c r="F60" i="8"/>
  <c r="F64" i="8"/>
  <c r="F96" i="8"/>
  <c r="F87" i="8"/>
  <c r="F131" i="8"/>
  <c r="F53" i="8"/>
  <c r="F44" i="8"/>
  <c r="F65" i="8"/>
  <c r="G31" i="8"/>
  <c r="G39" i="8"/>
  <c r="G42" i="8"/>
  <c r="D31" i="8"/>
  <c r="G45" i="8"/>
  <c r="F82" i="8"/>
  <c r="F108" i="8"/>
  <c r="F116" i="8"/>
  <c r="E650" i="3"/>
  <c r="H649" i="3"/>
  <c r="F649" i="3"/>
  <c r="I648" i="3"/>
  <c r="G648" i="3"/>
  <c r="E135" i="3"/>
  <c r="F134" i="3"/>
  <c r="G134" i="3"/>
  <c r="H134" i="3"/>
  <c r="I134" i="3"/>
  <c r="E549" i="3"/>
  <c r="H548" i="3"/>
  <c r="I548" i="3"/>
  <c r="F548" i="3"/>
  <c r="G548" i="3"/>
  <c r="E448" i="3"/>
  <c r="H447" i="3"/>
  <c r="I447" i="3"/>
  <c r="F447" i="3"/>
  <c r="G447" i="3"/>
  <c r="H237" i="3"/>
  <c r="I237" i="3"/>
  <c r="E238" i="3"/>
  <c r="F237" i="3"/>
  <c r="G237" i="3"/>
  <c r="H32" i="3"/>
  <c r="I32" i="3"/>
  <c r="E33" i="3"/>
  <c r="F32" i="3"/>
  <c r="G32" i="3"/>
  <c r="P324" i="3"/>
  <c r="G36" i="8"/>
  <c r="E651" i="3"/>
  <c r="H650" i="3"/>
  <c r="F650" i="3"/>
  <c r="I649" i="3"/>
  <c r="G649" i="3"/>
  <c r="E136" i="3"/>
  <c r="F135" i="3"/>
  <c r="G135" i="3"/>
  <c r="H135" i="3"/>
  <c r="I135" i="3"/>
  <c r="E550" i="3"/>
  <c r="H549" i="3"/>
  <c r="I549" i="3"/>
  <c r="F549" i="3"/>
  <c r="G549" i="3"/>
  <c r="E449" i="3"/>
  <c r="H448" i="3"/>
  <c r="I448" i="3"/>
  <c r="F448" i="3"/>
  <c r="G448" i="3"/>
  <c r="H238" i="3"/>
  <c r="I238" i="3"/>
  <c r="E239" i="3"/>
  <c r="F238" i="3"/>
  <c r="G238" i="3"/>
  <c r="H33" i="3"/>
  <c r="I33" i="3"/>
  <c r="E34" i="3"/>
  <c r="F33" i="3"/>
  <c r="G33" i="3"/>
  <c r="P316" i="3"/>
  <c r="E652" i="3"/>
  <c r="H651" i="3"/>
  <c r="F651" i="3"/>
  <c r="G650" i="3"/>
  <c r="I650" i="3"/>
  <c r="E137" i="3"/>
  <c r="F136" i="3"/>
  <c r="G136" i="3"/>
  <c r="H136" i="3"/>
  <c r="I136" i="3"/>
  <c r="E551" i="3"/>
  <c r="H550" i="3"/>
  <c r="I550" i="3"/>
  <c r="F550" i="3"/>
  <c r="G550" i="3"/>
  <c r="E450" i="3"/>
  <c r="H449" i="3"/>
  <c r="I449" i="3"/>
  <c r="F449" i="3"/>
  <c r="G449" i="3"/>
  <c r="H239" i="3"/>
  <c r="I239" i="3"/>
  <c r="E240" i="3"/>
  <c r="F239" i="3"/>
  <c r="G239" i="3"/>
  <c r="H34" i="3"/>
  <c r="I34" i="3"/>
  <c r="E35" i="3"/>
  <c r="F34" i="3"/>
  <c r="G34" i="3"/>
  <c r="N316" i="3"/>
  <c r="E653" i="3"/>
  <c r="F652" i="3"/>
  <c r="H652" i="3"/>
  <c r="I651" i="3"/>
  <c r="G651" i="3"/>
  <c r="E138" i="3"/>
  <c r="F137" i="3"/>
  <c r="G137" i="3"/>
  <c r="H137" i="3"/>
  <c r="I137" i="3"/>
  <c r="E552" i="3"/>
  <c r="H551" i="3"/>
  <c r="I551" i="3"/>
  <c r="F551" i="3"/>
  <c r="G551" i="3"/>
  <c r="F552" i="3"/>
  <c r="G552" i="3"/>
  <c r="E451" i="3"/>
  <c r="H450" i="3"/>
  <c r="I450" i="3"/>
  <c r="F450" i="3"/>
  <c r="G450" i="3"/>
  <c r="H240" i="3"/>
  <c r="I240" i="3"/>
  <c r="E241" i="3"/>
  <c r="F240" i="3"/>
  <c r="G240" i="3"/>
  <c r="H35" i="3"/>
  <c r="I35" i="3"/>
  <c r="E36" i="3"/>
  <c r="F35" i="3"/>
  <c r="G35" i="3"/>
  <c r="N317" i="3"/>
  <c r="E654" i="3"/>
  <c r="H653" i="3"/>
  <c r="F653" i="3"/>
  <c r="I652" i="3"/>
  <c r="G652" i="3"/>
  <c r="E139" i="3"/>
  <c r="F138" i="3"/>
  <c r="G138" i="3"/>
  <c r="H138" i="3"/>
  <c r="I138" i="3"/>
  <c r="E553" i="3"/>
  <c r="F553" i="3"/>
  <c r="H552" i="3"/>
  <c r="I552" i="3"/>
  <c r="E452" i="3"/>
  <c r="H451" i="3"/>
  <c r="I451" i="3"/>
  <c r="F451" i="3"/>
  <c r="G451" i="3"/>
  <c r="H241" i="3"/>
  <c r="I241" i="3"/>
  <c r="E242" i="3"/>
  <c r="F241" i="3"/>
  <c r="G241" i="3"/>
  <c r="H36" i="3"/>
  <c r="I36" i="3"/>
  <c r="E37" i="3"/>
  <c r="F36" i="3"/>
  <c r="G36" i="3"/>
  <c r="N318" i="3"/>
  <c r="E655" i="3"/>
  <c r="H654" i="3"/>
  <c r="F654" i="3"/>
  <c r="I653" i="3"/>
  <c r="G653" i="3"/>
  <c r="E140" i="3"/>
  <c r="F139" i="3"/>
  <c r="G139" i="3"/>
  <c r="H139" i="3"/>
  <c r="I139" i="3"/>
  <c r="E554" i="3"/>
  <c r="F554" i="3"/>
  <c r="G554" i="3"/>
  <c r="H553" i="3"/>
  <c r="I553" i="3"/>
  <c r="G553" i="3"/>
  <c r="E453" i="3"/>
  <c r="H452" i="3"/>
  <c r="I452" i="3"/>
  <c r="F452" i="3"/>
  <c r="G452" i="3"/>
  <c r="H242" i="3"/>
  <c r="I242" i="3"/>
  <c r="E243" i="3"/>
  <c r="F242" i="3"/>
  <c r="G242" i="3"/>
  <c r="H37" i="3"/>
  <c r="I37" i="3"/>
  <c r="E38" i="3"/>
  <c r="F37" i="3"/>
  <c r="G37" i="3"/>
  <c r="N319" i="3"/>
  <c r="E656" i="3"/>
  <c r="H655" i="3"/>
  <c r="F655" i="3"/>
  <c r="G654" i="3"/>
  <c r="I654" i="3"/>
  <c r="E141" i="3"/>
  <c r="F140" i="3"/>
  <c r="G140" i="3"/>
  <c r="H140" i="3"/>
  <c r="I140" i="3"/>
  <c r="E555" i="3"/>
  <c r="F555" i="3"/>
  <c r="H554" i="3"/>
  <c r="I554" i="3"/>
  <c r="E454" i="3"/>
  <c r="H453" i="3"/>
  <c r="I453" i="3"/>
  <c r="F453" i="3"/>
  <c r="G453" i="3"/>
  <c r="H243" i="3"/>
  <c r="I243" i="3"/>
  <c r="E244" i="3"/>
  <c r="F243" i="3"/>
  <c r="G243" i="3"/>
  <c r="H38" i="3"/>
  <c r="I38" i="3"/>
  <c r="E39" i="3"/>
  <c r="F38" i="3"/>
  <c r="G38" i="3"/>
  <c r="N320" i="3"/>
  <c r="E657" i="3"/>
  <c r="H656" i="3"/>
  <c r="F656" i="3"/>
  <c r="G655" i="3"/>
  <c r="I655" i="3"/>
  <c r="E142" i="3"/>
  <c r="F141" i="3"/>
  <c r="G141" i="3"/>
  <c r="H141" i="3"/>
  <c r="I141" i="3"/>
  <c r="E556" i="3"/>
  <c r="F556" i="3"/>
  <c r="G556" i="3"/>
  <c r="H555" i="3"/>
  <c r="I555" i="3"/>
  <c r="G555" i="3"/>
  <c r="E455" i="3"/>
  <c r="H454" i="3"/>
  <c r="I454" i="3"/>
  <c r="F454" i="3"/>
  <c r="G454" i="3"/>
  <c r="H244" i="3"/>
  <c r="I244" i="3"/>
  <c r="E245" i="3"/>
  <c r="F244" i="3"/>
  <c r="G244" i="3"/>
  <c r="H39" i="3"/>
  <c r="I39" i="3"/>
  <c r="E40" i="3"/>
  <c r="F39" i="3"/>
  <c r="G39" i="3"/>
  <c r="N321" i="3"/>
  <c r="E658" i="3"/>
  <c r="F657" i="3"/>
  <c r="H657" i="3"/>
  <c r="I656" i="3"/>
  <c r="G656" i="3"/>
  <c r="E143" i="3"/>
  <c r="H142" i="3"/>
  <c r="I142" i="3"/>
  <c r="F142" i="3"/>
  <c r="G142" i="3"/>
  <c r="E557" i="3"/>
  <c r="F557" i="3"/>
  <c r="H556" i="3"/>
  <c r="I556" i="3"/>
  <c r="E456" i="3"/>
  <c r="H455" i="3"/>
  <c r="I455" i="3"/>
  <c r="F455" i="3"/>
  <c r="G455" i="3"/>
  <c r="H245" i="3"/>
  <c r="I245" i="3"/>
  <c r="E246" i="3"/>
  <c r="F245" i="3"/>
  <c r="G245" i="3"/>
  <c r="H40" i="3"/>
  <c r="I40" i="3"/>
  <c r="E41" i="3"/>
  <c r="F40" i="3"/>
  <c r="G40" i="3"/>
  <c r="N322" i="3"/>
  <c r="E659" i="3"/>
  <c r="H658" i="3"/>
  <c r="F658" i="3"/>
  <c r="I657" i="3"/>
  <c r="G657" i="3"/>
  <c r="E144" i="3"/>
  <c r="H143" i="3"/>
  <c r="I143" i="3"/>
  <c r="F143" i="3"/>
  <c r="G143" i="3"/>
  <c r="E558" i="3"/>
  <c r="F558" i="3"/>
  <c r="G558" i="3"/>
  <c r="H557" i="3"/>
  <c r="I557" i="3"/>
  <c r="G557" i="3"/>
  <c r="E457" i="3"/>
  <c r="H456" i="3"/>
  <c r="I456" i="3"/>
  <c r="F456" i="3"/>
  <c r="G456" i="3"/>
  <c r="H246" i="3"/>
  <c r="I246" i="3"/>
  <c r="E247" i="3"/>
  <c r="F246" i="3"/>
  <c r="G246" i="3"/>
  <c r="H41" i="3"/>
  <c r="I41" i="3"/>
  <c r="E42" i="3"/>
  <c r="F41" i="3"/>
  <c r="G41" i="3"/>
  <c r="N323" i="3"/>
  <c r="E660" i="3"/>
  <c r="H659" i="3"/>
  <c r="F659" i="3"/>
  <c r="I658" i="3"/>
  <c r="G658" i="3"/>
  <c r="E145" i="3"/>
  <c r="H144" i="3"/>
  <c r="I144" i="3"/>
  <c r="F144" i="3"/>
  <c r="G144" i="3"/>
  <c r="E559" i="3"/>
  <c r="H558" i="3"/>
  <c r="I558" i="3"/>
  <c r="E458" i="3"/>
  <c r="H457" i="3"/>
  <c r="I457" i="3"/>
  <c r="F457" i="3"/>
  <c r="G457" i="3"/>
  <c r="H247" i="3"/>
  <c r="I247" i="3"/>
  <c r="E248" i="3"/>
  <c r="F247" i="3"/>
  <c r="G247" i="3"/>
  <c r="H42" i="3"/>
  <c r="I42" i="3"/>
  <c r="E43" i="3"/>
  <c r="F42" i="3"/>
  <c r="G42" i="3"/>
  <c r="N324" i="3"/>
  <c r="N327" i="3"/>
  <c r="O327" i="3"/>
  <c r="E661" i="3"/>
  <c r="F660" i="3"/>
  <c r="H660" i="3"/>
  <c r="G659" i="3"/>
  <c r="I659" i="3"/>
  <c r="E146" i="3"/>
  <c r="H145" i="3"/>
  <c r="I145" i="3"/>
  <c r="F145" i="3"/>
  <c r="G145" i="3"/>
  <c r="E560" i="3"/>
  <c r="F560" i="3"/>
  <c r="G560" i="3"/>
  <c r="H559" i="3"/>
  <c r="I559" i="3"/>
  <c r="F559" i="3"/>
  <c r="G559" i="3"/>
  <c r="E459" i="3"/>
  <c r="H458" i="3"/>
  <c r="I458" i="3"/>
  <c r="F458" i="3"/>
  <c r="G458" i="3"/>
  <c r="H248" i="3"/>
  <c r="I248" i="3"/>
  <c r="E249" i="3"/>
  <c r="F248" i="3"/>
  <c r="G248" i="3"/>
  <c r="H43" i="3"/>
  <c r="I43" i="3"/>
  <c r="E44" i="3"/>
  <c r="F43" i="3"/>
  <c r="G43" i="3"/>
  <c r="E662" i="3"/>
  <c r="F661" i="3"/>
  <c r="H661" i="3"/>
  <c r="I660" i="3"/>
  <c r="G660" i="3"/>
  <c r="E147" i="3"/>
  <c r="H146" i="3"/>
  <c r="I146" i="3"/>
  <c r="F146" i="3"/>
  <c r="G146" i="3"/>
  <c r="E561" i="3"/>
  <c r="F561" i="3"/>
  <c r="H560" i="3"/>
  <c r="I560" i="3"/>
  <c r="E460" i="3"/>
  <c r="H459" i="3"/>
  <c r="I459" i="3"/>
  <c r="F459" i="3"/>
  <c r="G459" i="3"/>
  <c r="H249" i="3"/>
  <c r="I249" i="3"/>
  <c r="E250" i="3"/>
  <c r="F249" i="3"/>
  <c r="G249" i="3"/>
  <c r="H44" i="3"/>
  <c r="I44" i="3"/>
  <c r="E45" i="3"/>
  <c r="F44" i="3"/>
  <c r="G44" i="3"/>
  <c r="E663" i="3"/>
  <c r="H662" i="3"/>
  <c r="F662" i="3"/>
  <c r="I661" i="3"/>
  <c r="G661" i="3"/>
  <c r="E148" i="3"/>
  <c r="H147" i="3"/>
  <c r="I147" i="3"/>
  <c r="F147" i="3"/>
  <c r="G147" i="3"/>
  <c r="E562" i="3"/>
  <c r="F562" i="3"/>
  <c r="G562" i="3"/>
  <c r="H561" i="3"/>
  <c r="I561" i="3"/>
  <c r="G561" i="3"/>
  <c r="E461" i="3"/>
  <c r="H460" i="3"/>
  <c r="I460" i="3"/>
  <c r="F460" i="3"/>
  <c r="G460" i="3"/>
  <c r="H250" i="3"/>
  <c r="I250" i="3"/>
  <c r="E251" i="3"/>
  <c r="F250" i="3"/>
  <c r="G250" i="3"/>
  <c r="H45" i="3"/>
  <c r="I45" i="3"/>
  <c r="E46" i="3"/>
  <c r="F45" i="3"/>
  <c r="G45" i="3"/>
  <c r="E664" i="3"/>
  <c r="H663" i="3"/>
  <c r="F663" i="3"/>
  <c r="I662" i="3"/>
  <c r="G662" i="3"/>
  <c r="E149" i="3"/>
  <c r="H148" i="3"/>
  <c r="I148" i="3"/>
  <c r="F148" i="3"/>
  <c r="G148" i="3"/>
  <c r="E563" i="3"/>
  <c r="F563" i="3"/>
  <c r="H562" i="3"/>
  <c r="I562" i="3"/>
  <c r="E462" i="3"/>
  <c r="H461" i="3"/>
  <c r="I461" i="3"/>
  <c r="F461" i="3"/>
  <c r="G461" i="3"/>
  <c r="H251" i="3"/>
  <c r="I251" i="3"/>
  <c r="E252" i="3"/>
  <c r="F251" i="3"/>
  <c r="G251" i="3"/>
  <c r="H46" i="3"/>
  <c r="I46" i="3"/>
  <c r="E47" i="3"/>
  <c r="F46" i="3"/>
  <c r="G46" i="3"/>
  <c r="E665" i="3"/>
  <c r="H664" i="3"/>
  <c r="F664" i="3"/>
  <c r="I663" i="3"/>
  <c r="G663" i="3"/>
  <c r="E150" i="3"/>
  <c r="F149" i="3"/>
  <c r="G149" i="3"/>
  <c r="H149" i="3"/>
  <c r="I149" i="3"/>
  <c r="E564" i="3"/>
  <c r="F564" i="3"/>
  <c r="G564" i="3"/>
  <c r="H563" i="3"/>
  <c r="I563" i="3"/>
  <c r="G563" i="3"/>
  <c r="E463" i="3"/>
  <c r="H462" i="3"/>
  <c r="I462" i="3"/>
  <c r="F462" i="3"/>
  <c r="G462" i="3"/>
  <c r="H252" i="3"/>
  <c r="I252" i="3"/>
  <c r="E253" i="3"/>
  <c r="F252" i="3"/>
  <c r="G252" i="3"/>
  <c r="H47" i="3"/>
  <c r="I47" i="3"/>
  <c r="E48" i="3"/>
  <c r="F47" i="3"/>
  <c r="G47" i="3"/>
  <c r="E666" i="3"/>
  <c r="H665" i="3"/>
  <c r="F665" i="3"/>
  <c r="I664" i="3"/>
  <c r="G664" i="3"/>
  <c r="E151" i="3"/>
  <c r="H150" i="3"/>
  <c r="I150" i="3"/>
  <c r="F150" i="3"/>
  <c r="G150" i="3"/>
  <c r="E565" i="3"/>
  <c r="F565" i="3"/>
  <c r="H564" i="3"/>
  <c r="I564" i="3"/>
  <c r="E464" i="3"/>
  <c r="H463" i="3"/>
  <c r="I463" i="3"/>
  <c r="F463" i="3"/>
  <c r="G463" i="3"/>
  <c r="H253" i="3"/>
  <c r="I253" i="3"/>
  <c r="E254" i="3"/>
  <c r="F253" i="3"/>
  <c r="G253" i="3"/>
  <c r="H48" i="3"/>
  <c r="I48" i="3"/>
  <c r="E49" i="3"/>
  <c r="F48" i="3"/>
  <c r="G48" i="3"/>
  <c r="E667" i="3"/>
  <c r="H666" i="3"/>
  <c r="F666" i="3"/>
  <c r="I665" i="3"/>
  <c r="G665" i="3"/>
  <c r="E152" i="3"/>
  <c r="H151" i="3"/>
  <c r="I151" i="3"/>
  <c r="F151" i="3"/>
  <c r="G151" i="3"/>
  <c r="E566" i="3"/>
  <c r="F566" i="3"/>
  <c r="G566" i="3"/>
  <c r="H565" i="3"/>
  <c r="I565" i="3"/>
  <c r="G565" i="3"/>
  <c r="E465" i="3"/>
  <c r="H464" i="3"/>
  <c r="I464" i="3"/>
  <c r="F464" i="3"/>
  <c r="G464" i="3"/>
  <c r="H254" i="3"/>
  <c r="I254" i="3"/>
  <c r="E255" i="3"/>
  <c r="F254" i="3"/>
  <c r="G254" i="3"/>
  <c r="H49" i="3"/>
  <c r="I49" i="3"/>
  <c r="E50" i="3"/>
  <c r="F49" i="3"/>
  <c r="G49" i="3"/>
  <c r="E668" i="3"/>
  <c r="H667" i="3"/>
  <c r="F667" i="3"/>
  <c r="I666" i="3"/>
  <c r="G666" i="3"/>
  <c r="E153" i="3"/>
  <c r="H152" i="3"/>
  <c r="I152" i="3"/>
  <c r="F152" i="3"/>
  <c r="G152" i="3"/>
  <c r="E567" i="3"/>
  <c r="F567" i="3"/>
  <c r="H566" i="3"/>
  <c r="I566" i="3"/>
  <c r="E466" i="3"/>
  <c r="H465" i="3"/>
  <c r="I465" i="3"/>
  <c r="F465" i="3"/>
  <c r="G465" i="3"/>
  <c r="H255" i="3"/>
  <c r="I255" i="3"/>
  <c r="E256" i="3"/>
  <c r="F255" i="3"/>
  <c r="G255" i="3"/>
  <c r="H50" i="3"/>
  <c r="I50" i="3"/>
  <c r="E51" i="3"/>
  <c r="F50" i="3"/>
  <c r="G50" i="3"/>
  <c r="E669" i="3"/>
  <c r="F668" i="3"/>
  <c r="H668" i="3"/>
  <c r="I667" i="3"/>
  <c r="G667" i="3"/>
  <c r="E154" i="3"/>
  <c r="H153" i="3"/>
  <c r="I153" i="3"/>
  <c r="F153" i="3"/>
  <c r="G153" i="3"/>
  <c r="E568" i="3"/>
  <c r="F568" i="3"/>
  <c r="G568" i="3"/>
  <c r="H567" i="3"/>
  <c r="I567" i="3"/>
  <c r="G567" i="3"/>
  <c r="E467" i="3"/>
  <c r="H466" i="3"/>
  <c r="I466" i="3"/>
  <c r="F466" i="3"/>
  <c r="G466" i="3"/>
  <c r="H256" i="3"/>
  <c r="I256" i="3"/>
  <c r="E257" i="3"/>
  <c r="F256" i="3"/>
  <c r="G256" i="3"/>
  <c r="H51" i="3"/>
  <c r="I51" i="3"/>
  <c r="E52" i="3"/>
  <c r="F51" i="3"/>
  <c r="G51" i="3"/>
  <c r="E670" i="3"/>
  <c r="H669" i="3"/>
  <c r="F669" i="3"/>
  <c r="I668" i="3"/>
  <c r="G668" i="3"/>
  <c r="E155" i="3"/>
  <c r="H154" i="3"/>
  <c r="I154" i="3"/>
  <c r="F154" i="3"/>
  <c r="G154" i="3"/>
  <c r="E569" i="3"/>
  <c r="F569" i="3"/>
  <c r="H568" i="3"/>
  <c r="I568" i="3"/>
  <c r="E468" i="3"/>
  <c r="H467" i="3"/>
  <c r="I467" i="3"/>
  <c r="F467" i="3"/>
  <c r="G467" i="3"/>
  <c r="H257" i="3"/>
  <c r="I257" i="3"/>
  <c r="E258" i="3"/>
  <c r="F257" i="3"/>
  <c r="G257" i="3"/>
  <c r="H52" i="3"/>
  <c r="I52" i="3"/>
  <c r="E53" i="3"/>
  <c r="F52" i="3"/>
  <c r="G52" i="3"/>
  <c r="E671" i="3"/>
  <c r="H670" i="3"/>
  <c r="F670" i="3"/>
  <c r="I669" i="3"/>
  <c r="G669" i="3"/>
  <c r="E156" i="3"/>
  <c r="H155" i="3"/>
  <c r="I155" i="3"/>
  <c r="F155" i="3"/>
  <c r="G155" i="3"/>
  <c r="E570" i="3"/>
  <c r="F570" i="3"/>
  <c r="H569" i="3"/>
  <c r="I569" i="3"/>
  <c r="G569" i="3"/>
  <c r="E469" i="3"/>
  <c r="H468" i="3"/>
  <c r="I468" i="3"/>
  <c r="F468" i="3"/>
  <c r="G468" i="3"/>
  <c r="H258" i="3"/>
  <c r="I258" i="3"/>
  <c r="E259" i="3"/>
  <c r="F258" i="3"/>
  <c r="G258" i="3"/>
  <c r="H53" i="3"/>
  <c r="I53" i="3"/>
  <c r="E54" i="3"/>
  <c r="F53" i="3"/>
  <c r="G53" i="3"/>
  <c r="E672" i="3"/>
  <c r="H671" i="3"/>
  <c r="F671" i="3"/>
  <c r="I670" i="3"/>
  <c r="G670" i="3"/>
  <c r="E157" i="3"/>
  <c r="F156" i="3"/>
  <c r="G156" i="3"/>
  <c r="H156" i="3"/>
  <c r="I156" i="3"/>
  <c r="G570" i="3"/>
  <c r="E571" i="3"/>
  <c r="F571" i="3"/>
  <c r="H570" i="3"/>
  <c r="I570" i="3"/>
  <c r="E470" i="3"/>
  <c r="H469" i="3"/>
  <c r="I469" i="3"/>
  <c r="F469" i="3"/>
  <c r="G469" i="3"/>
  <c r="H259" i="3"/>
  <c r="I259" i="3"/>
  <c r="E260" i="3"/>
  <c r="F259" i="3"/>
  <c r="G259" i="3"/>
  <c r="H54" i="3"/>
  <c r="I54" i="3"/>
  <c r="E55" i="3"/>
  <c r="F54" i="3"/>
  <c r="G54" i="3"/>
  <c r="E673" i="3"/>
  <c r="H672" i="3"/>
  <c r="F672" i="3"/>
  <c r="I671" i="3"/>
  <c r="G671" i="3"/>
  <c r="E158" i="3"/>
  <c r="H157" i="3"/>
  <c r="I157" i="3"/>
  <c r="F157" i="3"/>
  <c r="G157" i="3"/>
  <c r="E572" i="3"/>
  <c r="F572" i="3"/>
  <c r="H571" i="3"/>
  <c r="I571" i="3"/>
  <c r="G571" i="3"/>
  <c r="E471" i="3"/>
  <c r="H470" i="3"/>
  <c r="I470" i="3"/>
  <c r="F470" i="3"/>
  <c r="G470" i="3"/>
  <c r="H260" i="3"/>
  <c r="I260" i="3"/>
  <c r="E261" i="3"/>
  <c r="F260" i="3"/>
  <c r="G260" i="3"/>
  <c r="H55" i="3"/>
  <c r="I55" i="3"/>
  <c r="E56" i="3"/>
  <c r="F55" i="3"/>
  <c r="G55" i="3"/>
  <c r="G572" i="3"/>
  <c r="E674" i="3"/>
  <c r="F673" i="3"/>
  <c r="H673" i="3"/>
  <c r="I672" i="3"/>
  <c r="G672" i="3"/>
  <c r="E159" i="3"/>
  <c r="H158" i="3"/>
  <c r="I158" i="3"/>
  <c r="F158" i="3"/>
  <c r="G158" i="3"/>
  <c r="E573" i="3"/>
  <c r="F573" i="3"/>
  <c r="H572" i="3"/>
  <c r="I572" i="3"/>
  <c r="E472" i="3"/>
  <c r="H471" i="3"/>
  <c r="I471" i="3"/>
  <c r="F471" i="3"/>
  <c r="G471" i="3"/>
  <c r="H261" i="3"/>
  <c r="I261" i="3"/>
  <c r="E262" i="3"/>
  <c r="F261" i="3"/>
  <c r="G261" i="3"/>
  <c r="H56" i="3"/>
  <c r="I56" i="3"/>
  <c r="E57" i="3"/>
  <c r="F56" i="3"/>
  <c r="G56" i="3"/>
  <c r="E675" i="3"/>
  <c r="H674" i="3"/>
  <c r="F674" i="3"/>
  <c r="I673" i="3"/>
  <c r="G673" i="3"/>
  <c r="E160" i="3"/>
  <c r="H159" i="3"/>
  <c r="I159" i="3"/>
  <c r="F159" i="3"/>
  <c r="G159" i="3"/>
  <c r="E574" i="3"/>
  <c r="F574" i="3"/>
  <c r="H573" i="3"/>
  <c r="I573" i="3"/>
  <c r="G573" i="3"/>
  <c r="E473" i="3"/>
  <c r="H472" i="3"/>
  <c r="I472" i="3"/>
  <c r="F472" i="3"/>
  <c r="G472" i="3"/>
  <c r="H262" i="3"/>
  <c r="I262" i="3"/>
  <c r="E263" i="3"/>
  <c r="F262" i="3"/>
  <c r="G262" i="3"/>
  <c r="H57" i="3"/>
  <c r="I57" i="3"/>
  <c r="E58" i="3"/>
  <c r="F57" i="3"/>
  <c r="G57" i="3"/>
  <c r="E676" i="3"/>
  <c r="H675" i="3"/>
  <c r="F675" i="3"/>
  <c r="I674" i="3"/>
  <c r="G674" i="3"/>
  <c r="E161" i="3"/>
  <c r="F160" i="3"/>
  <c r="G160" i="3"/>
  <c r="H160" i="3"/>
  <c r="I160" i="3"/>
  <c r="G574" i="3"/>
  <c r="E575" i="3"/>
  <c r="F575" i="3"/>
  <c r="G575" i="3"/>
  <c r="H574" i="3"/>
  <c r="I574" i="3"/>
  <c r="E474" i="3"/>
  <c r="H473" i="3"/>
  <c r="I473" i="3"/>
  <c r="F473" i="3"/>
  <c r="G473" i="3"/>
  <c r="H263" i="3"/>
  <c r="I263" i="3"/>
  <c r="E264" i="3"/>
  <c r="F263" i="3"/>
  <c r="G263" i="3"/>
  <c r="H58" i="3"/>
  <c r="I58" i="3"/>
  <c r="E59" i="3"/>
  <c r="F58" i="3"/>
  <c r="G58" i="3"/>
  <c r="E677" i="3"/>
  <c r="H676" i="3"/>
  <c r="F676" i="3"/>
  <c r="G675" i="3"/>
  <c r="I675" i="3"/>
  <c r="E162" i="3"/>
  <c r="F161" i="3"/>
  <c r="G161" i="3"/>
  <c r="H161" i="3"/>
  <c r="I161" i="3"/>
  <c r="E576" i="3"/>
  <c r="F576" i="3"/>
  <c r="H575" i="3"/>
  <c r="I575" i="3"/>
  <c r="E475" i="3"/>
  <c r="H474" i="3"/>
  <c r="I474" i="3"/>
  <c r="F474" i="3"/>
  <c r="G474" i="3"/>
  <c r="H264" i="3"/>
  <c r="I264" i="3"/>
  <c r="E265" i="3"/>
  <c r="F264" i="3"/>
  <c r="G264" i="3"/>
  <c r="H59" i="3"/>
  <c r="I59" i="3"/>
  <c r="E60" i="3"/>
  <c r="F59" i="3"/>
  <c r="G59" i="3"/>
  <c r="E678" i="3"/>
  <c r="H677" i="3"/>
  <c r="F677" i="3"/>
  <c r="I676" i="3"/>
  <c r="G676" i="3"/>
  <c r="E163" i="3"/>
  <c r="H162" i="3"/>
  <c r="I162" i="3"/>
  <c r="F162" i="3"/>
  <c r="G162" i="3"/>
  <c r="E577" i="3"/>
  <c r="F577" i="3"/>
  <c r="H576" i="3"/>
  <c r="I576" i="3"/>
  <c r="G576" i="3"/>
  <c r="E476" i="3"/>
  <c r="H475" i="3"/>
  <c r="I475" i="3"/>
  <c r="F475" i="3"/>
  <c r="G475" i="3"/>
  <c r="H265" i="3"/>
  <c r="I265" i="3"/>
  <c r="E266" i="3"/>
  <c r="F265" i="3"/>
  <c r="G265" i="3"/>
  <c r="H60" i="3"/>
  <c r="I60" i="3"/>
  <c r="E61" i="3"/>
  <c r="F60" i="3"/>
  <c r="G60" i="3"/>
  <c r="G577" i="3"/>
  <c r="E679" i="3"/>
  <c r="H678" i="3"/>
  <c r="F678" i="3"/>
  <c r="G677" i="3"/>
  <c r="I677" i="3"/>
  <c r="E164" i="3"/>
  <c r="H163" i="3"/>
  <c r="I163" i="3"/>
  <c r="F163" i="3"/>
  <c r="G163" i="3"/>
  <c r="E578" i="3"/>
  <c r="F578" i="3"/>
  <c r="H577" i="3"/>
  <c r="I577" i="3"/>
  <c r="E477" i="3"/>
  <c r="H476" i="3"/>
  <c r="I476" i="3"/>
  <c r="F476" i="3"/>
  <c r="G476" i="3"/>
  <c r="H266" i="3"/>
  <c r="I266" i="3"/>
  <c r="E267" i="3"/>
  <c r="F266" i="3"/>
  <c r="G266" i="3"/>
  <c r="H61" i="3"/>
  <c r="I61" i="3"/>
  <c r="E62" i="3"/>
  <c r="F61" i="3"/>
  <c r="G61" i="3"/>
  <c r="E680" i="3"/>
  <c r="H679" i="3"/>
  <c r="F679" i="3"/>
  <c r="I678" i="3"/>
  <c r="G678" i="3"/>
  <c r="E165" i="3"/>
  <c r="H164" i="3"/>
  <c r="I164" i="3"/>
  <c r="F164" i="3"/>
  <c r="G164" i="3"/>
  <c r="E579" i="3"/>
  <c r="F579" i="3"/>
  <c r="H578" i="3"/>
  <c r="I578" i="3"/>
  <c r="G578" i="3"/>
  <c r="E478" i="3"/>
  <c r="H477" i="3"/>
  <c r="I477" i="3"/>
  <c r="F477" i="3"/>
  <c r="G477" i="3"/>
  <c r="H267" i="3"/>
  <c r="I267" i="3"/>
  <c r="E268" i="3"/>
  <c r="F267" i="3"/>
  <c r="G267" i="3"/>
  <c r="H62" i="3"/>
  <c r="I62" i="3"/>
  <c r="E63" i="3"/>
  <c r="F62" i="3"/>
  <c r="G62" i="3"/>
  <c r="E681" i="3"/>
  <c r="H680" i="3"/>
  <c r="F680" i="3"/>
  <c r="G579" i="3"/>
  <c r="G679" i="3"/>
  <c r="I679" i="3"/>
  <c r="E166" i="3"/>
  <c r="F165" i="3"/>
  <c r="G165" i="3"/>
  <c r="H165" i="3"/>
  <c r="I165" i="3"/>
  <c r="E580" i="3"/>
  <c r="F580" i="3"/>
  <c r="H579" i="3"/>
  <c r="I579" i="3"/>
  <c r="E479" i="3"/>
  <c r="H478" i="3"/>
  <c r="I478" i="3"/>
  <c r="F478" i="3"/>
  <c r="G478" i="3"/>
  <c r="H268" i="3"/>
  <c r="I268" i="3"/>
  <c r="E269" i="3"/>
  <c r="F268" i="3"/>
  <c r="G268" i="3"/>
  <c r="H63" i="3"/>
  <c r="I63" i="3"/>
  <c r="E64" i="3"/>
  <c r="F63" i="3"/>
  <c r="G63" i="3"/>
  <c r="E682" i="3"/>
  <c r="H681" i="3"/>
  <c r="F681" i="3"/>
  <c r="I680" i="3"/>
  <c r="G680" i="3"/>
  <c r="E167" i="3"/>
  <c r="H166" i="3"/>
  <c r="I166" i="3"/>
  <c r="F166" i="3"/>
  <c r="G166" i="3"/>
  <c r="E581" i="3"/>
  <c r="F581" i="3"/>
  <c r="H580" i="3"/>
  <c r="I580" i="3"/>
  <c r="G580" i="3"/>
  <c r="E480" i="3"/>
  <c r="H479" i="3"/>
  <c r="I479" i="3"/>
  <c r="F479" i="3"/>
  <c r="G479" i="3"/>
  <c r="H269" i="3"/>
  <c r="I269" i="3"/>
  <c r="E270" i="3"/>
  <c r="F269" i="3"/>
  <c r="G269" i="3"/>
  <c r="H64" i="3"/>
  <c r="I64" i="3"/>
  <c r="E65" i="3"/>
  <c r="F64" i="3"/>
  <c r="G64" i="3"/>
  <c r="G581" i="3"/>
  <c r="E683" i="3"/>
  <c r="H682" i="3"/>
  <c r="F682" i="3"/>
  <c r="G681" i="3"/>
  <c r="I681" i="3"/>
  <c r="E168" i="3"/>
  <c r="F167" i="3"/>
  <c r="G167" i="3"/>
  <c r="H167" i="3"/>
  <c r="I167" i="3"/>
  <c r="E582" i="3"/>
  <c r="F582" i="3"/>
  <c r="H581" i="3"/>
  <c r="I581" i="3"/>
  <c r="E481" i="3"/>
  <c r="H480" i="3"/>
  <c r="I480" i="3"/>
  <c r="F480" i="3"/>
  <c r="G480" i="3"/>
  <c r="H270" i="3"/>
  <c r="I270" i="3"/>
  <c r="E271" i="3"/>
  <c r="F270" i="3"/>
  <c r="G270" i="3"/>
  <c r="H65" i="3"/>
  <c r="I65" i="3"/>
  <c r="E66" i="3"/>
  <c r="F65" i="3"/>
  <c r="G65" i="3"/>
  <c r="E684" i="3"/>
  <c r="H683" i="3"/>
  <c r="F683" i="3"/>
  <c r="I682" i="3"/>
  <c r="G682" i="3"/>
  <c r="E169" i="3"/>
  <c r="F168" i="3"/>
  <c r="G168" i="3"/>
  <c r="H168" i="3"/>
  <c r="I168" i="3"/>
  <c r="E583" i="3"/>
  <c r="F583" i="3"/>
  <c r="H582" i="3"/>
  <c r="I582" i="3"/>
  <c r="G582" i="3"/>
  <c r="E482" i="3"/>
  <c r="H481" i="3"/>
  <c r="I481" i="3"/>
  <c r="F481" i="3"/>
  <c r="G481" i="3"/>
  <c r="H271" i="3"/>
  <c r="I271" i="3"/>
  <c r="E272" i="3"/>
  <c r="F271" i="3"/>
  <c r="G271" i="3"/>
  <c r="H66" i="3"/>
  <c r="I66" i="3"/>
  <c r="E67" i="3"/>
  <c r="F66" i="3"/>
  <c r="G66" i="3"/>
  <c r="E685" i="3"/>
  <c r="H684" i="3"/>
  <c r="F684" i="3"/>
  <c r="G583" i="3"/>
  <c r="I683" i="3"/>
  <c r="G683" i="3"/>
  <c r="E170" i="3"/>
  <c r="H169" i="3"/>
  <c r="I169" i="3"/>
  <c r="F169" i="3"/>
  <c r="G169" i="3"/>
  <c r="E584" i="3"/>
  <c r="F584" i="3"/>
  <c r="H583" i="3"/>
  <c r="I583" i="3"/>
  <c r="E483" i="3"/>
  <c r="H482" i="3"/>
  <c r="I482" i="3"/>
  <c r="F482" i="3"/>
  <c r="G482" i="3"/>
  <c r="H272" i="3"/>
  <c r="I272" i="3"/>
  <c r="E273" i="3"/>
  <c r="F272" i="3"/>
  <c r="G272" i="3"/>
  <c r="H67" i="3"/>
  <c r="I67" i="3"/>
  <c r="E68" i="3"/>
  <c r="F67" i="3"/>
  <c r="G67" i="3"/>
  <c r="E686" i="3"/>
  <c r="H685" i="3"/>
  <c r="F685" i="3"/>
  <c r="I684" i="3"/>
  <c r="G684" i="3"/>
  <c r="E171" i="3"/>
  <c r="H170" i="3"/>
  <c r="I170" i="3"/>
  <c r="F170" i="3"/>
  <c r="G170" i="3"/>
  <c r="E585" i="3"/>
  <c r="F585" i="3"/>
  <c r="H584" i="3"/>
  <c r="I584" i="3"/>
  <c r="G584" i="3"/>
  <c r="E484" i="3"/>
  <c r="H483" i="3"/>
  <c r="I483" i="3"/>
  <c r="F483" i="3"/>
  <c r="G483" i="3"/>
  <c r="H273" i="3"/>
  <c r="I273" i="3"/>
  <c r="E274" i="3"/>
  <c r="F273" i="3"/>
  <c r="G273" i="3"/>
  <c r="H68" i="3"/>
  <c r="I68" i="3"/>
  <c r="E69" i="3"/>
  <c r="F68" i="3"/>
  <c r="G68" i="3"/>
  <c r="E687" i="3"/>
  <c r="H686" i="3"/>
  <c r="F686" i="3"/>
  <c r="G585" i="3"/>
  <c r="I685" i="3"/>
  <c r="G685" i="3"/>
  <c r="E172" i="3"/>
  <c r="H171" i="3"/>
  <c r="I171" i="3"/>
  <c r="F171" i="3"/>
  <c r="G171" i="3"/>
  <c r="E586" i="3"/>
  <c r="F586" i="3"/>
  <c r="H585" i="3"/>
  <c r="I585" i="3"/>
  <c r="E485" i="3"/>
  <c r="H484" i="3"/>
  <c r="I484" i="3"/>
  <c r="F484" i="3"/>
  <c r="G484" i="3"/>
  <c r="H274" i="3"/>
  <c r="I274" i="3"/>
  <c r="E275" i="3"/>
  <c r="F274" i="3"/>
  <c r="G274" i="3"/>
  <c r="H69" i="3"/>
  <c r="I69" i="3"/>
  <c r="E70" i="3"/>
  <c r="F69" i="3"/>
  <c r="G69" i="3"/>
  <c r="E688" i="3"/>
  <c r="H687" i="3"/>
  <c r="F687" i="3"/>
  <c r="I686" i="3"/>
  <c r="G686" i="3"/>
  <c r="E173" i="3"/>
  <c r="H172" i="3"/>
  <c r="I172" i="3"/>
  <c r="F172" i="3"/>
  <c r="G172" i="3"/>
  <c r="E587" i="3"/>
  <c r="F587" i="3"/>
  <c r="H586" i="3"/>
  <c r="I586" i="3"/>
  <c r="G586" i="3"/>
  <c r="E486" i="3"/>
  <c r="H485" i="3"/>
  <c r="I485" i="3"/>
  <c r="F485" i="3"/>
  <c r="G485" i="3"/>
  <c r="H275" i="3"/>
  <c r="I275" i="3"/>
  <c r="E276" i="3"/>
  <c r="F275" i="3"/>
  <c r="G275" i="3"/>
  <c r="H70" i="3"/>
  <c r="I70" i="3"/>
  <c r="E71" i="3"/>
  <c r="F70" i="3"/>
  <c r="G70" i="3"/>
  <c r="E689" i="3"/>
  <c r="H688" i="3"/>
  <c r="F688" i="3"/>
  <c r="G587" i="3"/>
  <c r="I687" i="3"/>
  <c r="G687" i="3"/>
  <c r="E174" i="3"/>
  <c r="H173" i="3"/>
  <c r="I173" i="3"/>
  <c r="F173" i="3"/>
  <c r="G173" i="3"/>
  <c r="E588" i="3"/>
  <c r="F588" i="3"/>
  <c r="H587" i="3"/>
  <c r="I587" i="3"/>
  <c r="E487" i="3"/>
  <c r="H486" i="3"/>
  <c r="I486" i="3"/>
  <c r="F486" i="3"/>
  <c r="G486" i="3"/>
  <c r="H276" i="3"/>
  <c r="I276" i="3"/>
  <c r="E277" i="3"/>
  <c r="F276" i="3"/>
  <c r="G276" i="3"/>
  <c r="H71" i="3"/>
  <c r="I71" i="3"/>
  <c r="E72" i="3"/>
  <c r="F71" i="3"/>
  <c r="G71" i="3"/>
  <c r="E690" i="3"/>
  <c r="F689" i="3"/>
  <c r="H689" i="3"/>
  <c r="I688" i="3"/>
  <c r="G688" i="3"/>
  <c r="E175" i="3"/>
  <c r="H174" i="3"/>
  <c r="I174" i="3"/>
  <c r="F174" i="3"/>
  <c r="G174" i="3"/>
  <c r="E589" i="3"/>
  <c r="F589" i="3"/>
  <c r="H588" i="3"/>
  <c r="I588" i="3"/>
  <c r="G588" i="3"/>
  <c r="E488" i="3"/>
  <c r="H487" i="3"/>
  <c r="I487" i="3"/>
  <c r="F487" i="3"/>
  <c r="G487" i="3"/>
  <c r="H277" i="3"/>
  <c r="I277" i="3"/>
  <c r="E278" i="3"/>
  <c r="F277" i="3"/>
  <c r="G277" i="3"/>
  <c r="H72" i="3"/>
  <c r="I72" i="3"/>
  <c r="E73" i="3"/>
  <c r="F72" i="3"/>
  <c r="G72" i="3"/>
  <c r="E691" i="3"/>
  <c r="H690" i="3"/>
  <c r="F690" i="3"/>
  <c r="I689" i="3"/>
  <c r="G689" i="3"/>
  <c r="E176" i="3"/>
  <c r="H175" i="3"/>
  <c r="I175" i="3"/>
  <c r="F175" i="3"/>
  <c r="G175" i="3"/>
  <c r="G589" i="3"/>
  <c r="E590" i="3"/>
  <c r="F590" i="3"/>
  <c r="H589" i="3"/>
  <c r="I589" i="3"/>
  <c r="E489" i="3"/>
  <c r="H488" i="3"/>
  <c r="I488" i="3"/>
  <c r="F488" i="3"/>
  <c r="G488" i="3"/>
  <c r="H278" i="3"/>
  <c r="I278" i="3"/>
  <c r="E279" i="3"/>
  <c r="F278" i="3"/>
  <c r="G278" i="3"/>
  <c r="H73" i="3"/>
  <c r="I73" i="3"/>
  <c r="E74" i="3"/>
  <c r="F73" i="3"/>
  <c r="G73" i="3"/>
  <c r="E692" i="3"/>
  <c r="H691" i="3"/>
  <c r="F691" i="3"/>
  <c r="I690" i="3"/>
  <c r="G690" i="3"/>
  <c r="E177" i="3"/>
  <c r="H176" i="3"/>
  <c r="I176" i="3"/>
  <c r="F176" i="3"/>
  <c r="G176" i="3"/>
  <c r="E591" i="3"/>
  <c r="H590" i="3"/>
  <c r="I590" i="3"/>
  <c r="G590" i="3"/>
  <c r="E490" i="3"/>
  <c r="H489" i="3"/>
  <c r="I489" i="3"/>
  <c r="F489" i="3"/>
  <c r="G489" i="3"/>
  <c r="H279" i="3"/>
  <c r="I279" i="3"/>
  <c r="E280" i="3"/>
  <c r="F279" i="3"/>
  <c r="G279" i="3"/>
  <c r="H74" i="3"/>
  <c r="I74" i="3"/>
  <c r="E75" i="3"/>
  <c r="F74" i="3"/>
  <c r="G74" i="3"/>
  <c r="E693" i="3"/>
  <c r="H692" i="3"/>
  <c r="F692" i="3"/>
  <c r="G691" i="3"/>
  <c r="I691" i="3"/>
  <c r="E178" i="3"/>
  <c r="H177" i="3"/>
  <c r="I177" i="3"/>
  <c r="F177" i="3"/>
  <c r="G177" i="3"/>
  <c r="E592" i="3"/>
  <c r="F592" i="3"/>
  <c r="H591" i="3"/>
  <c r="I591" i="3"/>
  <c r="F591" i="3"/>
  <c r="G591" i="3"/>
  <c r="E491" i="3"/>
  <c r="H490" i="3"/>
  <c r="I490" i="3"/>
  <c r="F490" i="3"/>
  <c r="G490" i="3"/>
  <c r="H280" i="3"/>
  <c r="I280" i="3"/>
  <c r="E281" i="3"/>
  <c r="F280" i="3"/>
  <c r="G280" i="3"/>
  <c r="H75" i="3"/>
  <c r="I75" i="3"/>
  <c r="E76" i="3"/>
  <c r="F75" i="3"/>
  <c r="G75" i="3"/>
  <c r="E694" i="3"/>
  <c r="H693" i="3"/>
  <c r="F693" i="3"/>
  <c r="I692" i="3"/>
  <c r="G692" i="3"/>
  <c r="E179" i="3"/>
  <c r="H178" i="3"/>
  <c r="I178" i="3"/>
  <c r="F178" i="3"/>
  <c r="G178" i="3"/>
  <c r="G592" i="3"/>
  <c r="E593" i="3"/>
  <c r="F593" i="3"/>
  <c r="H592" i="3"/>
  <c r="I592" i="3"/>
  <c r="E492" i="3"/>
  <c r="H491" i="3"/>
  <c r="I491" i="3"/>
  <c r="F491" i="3"/>
  <c r="G491" i="3"/>
  <c r="H281" i="3"/>
  <c r="I281" i="3"/>
  <c r="E282" i="3"/>
  <c r="F281" i="3"/>
  <c r="G281" i="3"/>
  <c r="H76" i="3"/>
  <c r="I76" i="3"/>
  <c r="E77" i="3"/>
  <c r="F76" i="3"/>
  <c r="G76" i="3"/>
  <c r="E695" i="3"/>
  <c r="H694" i="3"/>
  <c r="F694" i="3"/>
  <c r="G693" i="3"/>
  <c r="I693" i="3"/>
  <c r="E180" i="3"/>
  <c r="H179" i="3"/>
  <c r="I179" i="3"/>
  <c r="F179" i="3"/>
  <c r="G179" i="3"/>
  <c r="E594" i="3"/>
  <c r="F594" i="3"/>
  <c r="H593" i="3"/>
  <c r="I593" i="3"/>
  <c r="G593" i="3"/>
  <c r="E493" i="3"/>
  <c r="H492" i="3"/>
  <c r="I492" i="3"/>
  <c r="F492" i="3"/>
  <c r="G492" i="3"/>
  <c r="H282" i="3"/>
  <c r="I282" i="3"/>
  <c r="E283" i="3"/>
  <c r="F282" i="3"/>
  <c r="G282" i="3"/>
  <c r="H77" i="3"/>
  <c r="I77" i="3"/>
  <c r="E78" i="3"/>
  <c r="F77" i="3"/>
  <c r="G77" i="3"/>
  <c r="E696" i="3"/>
  <c r="H695" i="3"/>
  <c r="F695" i="3"/>
  <c r="I694" i="3"/>
  <c r="G694" i="3"/>
  <c r="E181" i="3"/>
  <c r="H180" i="3"/>
  <c r="I180" i="3"/>
  <c r="F180" i="3"/>
  <c r="G180" i="3"/>
  <c r="G594" i="3"/>
  <c r="E595" i="3"/>
  <c r="F595" i="3"/>
  <c r="H594" i="3"/>
  <c r="I594" i="3"/>
  <c r="E494" i="3"/>
  <c r="H493" i="3"/>
  <c r="I493" i="3"/>
  <c r="F493" i="3"/>
  <c r="G493" i="3"/>
  <c r="H283" i="3"/>
  <c r="I283" i="3"/>
  <c r="E284" i="3"/>
  <c r="F283" i="3"/>
  <c r="G283" i="3"/>
  <c r="H78" i="3"/>
  <c r="I78" i="3"/>
  <c r="E79" i="3"/>
  <c r="F78" i="3"/>
  <c r="G78" i="3"/>
  <c r="E697" i="3"/>
  <c r="H696" i="3"/>
  <c r="F696" i="3"/>
  <c r="G695" i="3"/>
  <c r="I695" i="3"/>
  <c r="E182" i="3"/>
  <c r="F181" i="3"/>
  <c r="G181" i="3"/>
  <c r="H181" i="3"/>
  <c r="I181" i="3"/>
  <c r="E596" i="3"/>
  <c r="F596" i="3"/>
  <c r="H595" i="3"/>
  <c r="I595" i="3"/>
  <c r="G595" i="3"/>
  <c r="E495" i="3"/>
  <c r="H494" i="3"/>
  <c r="I494" i="3"/>
  <c r="F494" i="3"/>
  <c r="G494" i="3"/>
  <c r="H284" i="3"/>
  <c r="I284" i="3"/>
  <c r="E285" i="3"/>
  <c r="F284" i="3"/>
  <c r="G284" i="3"/>
  <c r="H79" i="3"/>
  <c r="I79" i="3"/>
  <c r="E80" i="3"/>
  <c r="F79" i="3"/>
  <c r="G79" i="3"/>
  <c r="E698" i="3"/>
  <c r="H697" i="3"/>
  <c r="F697" i="3"/>
  <c r="I696" i="3"/>
  <c r="G696" i="3"/>
  <c r="E183" i="3"/>
  <c r="H182" i="3"/>
  <c r="I182" i="3"/>
  <c r="F182" i="3"/>
  <c r="G182" i="3"/>
  <c r="G596" i="3"/>
  <c r="E597" i="3"/>
  <c r="F597" i="3"/>
  <c r="H596" i="3"/>
  <c r="I596" i="3"/>
  <c r="E496" i="3"/>
  <c r="H495" i="3"/>
  <c r="I495" i="3"/>
  <c r="F495" i="3"/>
  <c r="G495" i="3"/>
  <c r="H285" i="3"/>
  <c r="I285" i="3"/>
  <c r="E286" i="3"/>
  <c r="F285" i="3"/>
  <c r="G285" i="3"/>
  <c r="H80" i="3"/>
  <c r="I80" i="3"/>
  <c r="E81" i="3"/>
  <c r="F80" i="3"/>
  <c r="G80" i="3"/>
  <c r="E699" i="3"/>
  <c r="H698" i="3"/>
  <c r="F698" i="3"/>
  <c r="G697" i="3"/>
  <c r="I697" i="3"/>
  <c r="E184" i="3"/>
  <c r="F183" i="3"/>
  <c r="G183" i="3"/>
  <c r="H183" i="3"/>
  <c r="I183" i="3"/>
  <c r="E598" i="3"/>
  <c r="F598" i="3"/>
  <c r="H597" i="3"/>
  <c r="I597" i="3"/>
  <c r="G597" i="3"/>
  <c r="G598" i="3"/>
  <c r="E497" i="3"/>
  <c r="H496" i="3"/>
  <c r="I496" i="3"/>
  <c r="F496" i="3"/>
  <c r="G496" i="3"/>
  <c r="H286" i="3"/>
  <c r="I286" i="3"/>
  <c r="E287" i="3"/>
  <c r="F286" i="3"/>
  <c r="G286" i="3"/>
  <c r="H81" i="3"/>
  <c r="I81" i="3"/>
  <c r="E82" i="3"/>
  <c r="F81" i="3"/>
  <c r="G81" i="3"/>
  <c r="E700" i="3"/>
  <c r="H699" i="3"/>
  <c r="F699" i="3"/>
  <c r="I698" i="3"/>
  <c r="G698" i="3"/>
  <c r="E185" i="3"/>
  <c r="H184" i="3"/>
  <c r="I184" i="3"/>
  <c r="F184" i="3"/>
  <c r="G184" i="3"/>
  <c r="E599" i="3"/>
  <c r="F599" i="3"/>
  <c r="H598" i="3"/>
  <c r="I598" i="3"/>
  <c r="E498" i="3"/>
  <c r="H497" i="3"/>
  <c r="I497" i="3"/>
  <c r="F497" i="3"/>
  <c r="G497" i="3"/>
  <c r="H287" i="3"/>
  <c r="I287" i="3"/>
  <c r="E288" i="3"/>
  <c r="F287" i="3"/>
  <c r="G287" i="3"/>
  <c r="H82" i="3"/>
  <c r="I82" i="3"/>
  <c r="E83" i="3"/>
  <c r="F82" i="3"/>
  <c r="G82" i="3"/>
  <c r="E701" i="3"/>
  <c r="H700" i="3"/>
  <c r="F700" i="3"/>
  <c r="I699" i="3"/>
  <c r="G699" i="3"/>
  <c r="E186" i="3"/>
  <c r="F185" i="3"/>
  <c r="G185" i="3"/>
  <c r="H185" i="3"/>
  <c r="I185" i="3"/>
  <c r="E600" i="3"/>
  <c r="F600" i="3"/>
  <c r="H599" i="3"/>
  <c r="I599" i="3"/>
  <c r="G599" i="3"/>
  <c r="E499" i="3"/>
  <c r="H498" i="3"/>
  <c r="I498" i="3"/>
  <c r="F498" i="3"/>
  <c r="G498" i="3"/>
  <c r="H288" i="3"/>
  <c r="I288" i="3"/>
  <c r="E289" i="3"/>
  <c r="F288" i="3"/>
  <c r="G288" i="3"/>
  <c r="H83" i="3"/>
  <c r="I83" i="3"/>
  <c r="E84" i="3"/>
  <c r="F83" i="3"/>
  <c r="G83" i="3"/>
  <c r="E702" i="3"/>
  <c r="F701" i="3"/>
  <c r="H701" i="3"/>
  <c r="I700" i="3"/>
  <c r="G700" i="3"/>
  <c r="E187" i="3"/>
  <c r="F186" i="3"/>
  <c r="G186" i="3"/>
  <c r="H186" i="3"/>
  <c r="I186" i="3"/>
  <c r="G600" i="3"/>
  <c r="E601" i="3"/>
  <c r="F601" i="3"/>
  <c r="H600" i="3"/>
  <c r="I600" i="3"/>
  <c r="E500" i="3"/>
  <c r="H499" i="3"/>
  <c r="I499" i="3"/>
  <c r="F499" i="3"/>
  <c r="G499" i="3"/>
  <c r="H289" i="3"/>
  <c r="I289" i="3"/>
  <c r="E290" i="3"/>
  <c r="F289" i="3"/>
  <c r="G289" i="3"/>
  <c r="H84" i="3"/>
  <c r="I84" i="3"/>
  <c r="E85" i="3"/>
  <c r="F84" i="3"/>
  <c r="G84" i="3"/>
  <c r="E703" i="3"/>
  <c r="H702" i="3"/>
  <c r="F702" i="3"/>
  <c r="I701" i="3"/>
  <c r="G701" i="3"/>
  <c r="E188" i="3"/>
  <c r="F187" i="3"/>
  <c r="G187" i="3"/>
  <c r="H187" i="3"/>
  <c r="I187" i="3"/>
  <c r="E602" i="3"/>
  <c r="F602" i="3"/>
  <c r="H601" i="3"/>
  <c r="I601" i="3"/>
  <c r="G601" i="3"/>
  <c r="G602" i="3"/>
  <c r="E501" i="3"/>
  <c r="H500" i="3"/>
  <c r="I500" i="3"/>
  <c r="F500" i="3"/>
  <c r="G500" i="3"/>
  <c r="H290" i="3"/>
  <c r="I290" i="3"/>
  <c r="E291" i="3"/>
  <c r="F290" i="3"/>
  <c r="G290" i="3"/>
  <c r="H85" i="3"/>
  <c r="I85" i="3"/>
  <c r="E86" i="3"/>
  <c r="F85" i="3"/>
  <c r="G85" i="3"/>
  <c r="E704" i="3"/>
  <c r="H703" i="3"/>
  <c r="F703" i="3"/>
  <c r="I702" i="3"/>
  <c r="G702" i="3"/>
  <c r="E189" i="3"/>
  <c r="H188" i="3"/>
  <c r="I188" i="3"/>
  <c r="F188" i="3"/>
  <c r="G188" i="3"/>
  <c r="E603" i="3"/>
  <c r="F603" i="3"/>
  <c r="H602" i="3"/>
  <c r="I602" i="3"/>
  <c r="E502" i="3"/>
  <c r="H501" i="3"/>
  <c r="I501" i="3"/>
  <c r="F501" i="3"/>
  <c r="G501" i="3"/>
  <c r="H291" i="3"/>
  <c r="I291" i="3"/>
  <c r="E292" i="3"/>
  <c r="F291" i="3"/>
  <c r="G291" i="3"/>
  <c r="H86" i="3"/>
  <c r="I86" i="3"/>
  <c r="E87" i="3"/>
  <c r="F86" i="3"/>
  <c r="G86" i="3"/>
  <c r="E705" i="3"/>
  <c r="H704" i="3"/>
  <c r="F704" i="3"/>
  <c r="I703" i="3"/>
  <c r="G703" i="3"/>
  <c r="E190" i="3"/>
  <c r="H189" i="3"/>
  <c r="I189" i="3"/>
  <c r="F189" i="3"/>
  <c r="G189" i="3"/>
  <c r="E604" i="3"/>
  <c r="F604" i="3"/>
  <c r="H603" i="3"/>
  <c r="I603" i="3"/>
  <c r="G603" i="3"/>
  <c r="E503" i="3"/>
  <c r="H502" i="3"/>
  <c r="I502" i="3"/>
  <c r="F502" i="3"/>
  <c r="G502" i="3"/>
  <c r="H292" i="3"/>
  <c r="I292" i="3"/>
  <c r="E293" i="3"/>
  <c r="F292" i="3"/>
  <c r="G292" i="3"/>
  <c r="H87" i="3"/>
  <c r="I87" i="3"/>
  <c r="E88" i="3"/>
  <c r="F87" i="3"/>
  <c r="G87" i="3"/>
  <c r="E706" i="3"/>
  <c r="F705" i="3"/>
  <c r="H705" i="3"/>
  <c r="I704" i="3"/>
  <c r="G704" i="3"/>
  <c r="E191" i="3"/>
  <c r="H190" i="3"/>
  <c r="I190" i="3"/>
  <c r="F190" i="3"/>
  <c r="G190" i="3"/>
  <c r="G604" i="3"/>
  <c r="E605" i="3"/>
  <c r="F605" i="3"/>
  <c r="H604" i="3"/>
  <c r="I604" i="3"/>
  <c r="E504" i="3"/>
  <c r="H503" i="3"/>
  <c r="I503" i="3"/>
  <c r="F503" i="3"/>
  <c r="G503" i="3"/>
  <c r="H293" i="3"/>
  <c r="I293" i="3"/>
  <c r="E294" i="3"/>
  <c r="F293" i="3"/>
  <c r="G293" i="3"/>
  <c r="H88" i="3"/>
  <c r="I88" i="3"/>
  <c r="E89" i="3"/>
  <c r="F88" i="3"/>
  <c r="G88" i="3"/>
  <c r="E707" i="3"/>
  <c r="H706" i="3"/>
  <c r="F706" i="3"/>
  <c r="I705" i="3"/>
  <c r="G705" i="3"/>
  <c r="E192" i="3"/>
  <c r="H191" i="3"/>
  <c r="I191" i="3"/>
  <c r="F191" i="3"/>
  <c r="G191" i="3"/>
  <c r="E606" i="3"/>
  <c r="F606" i="3"/>
  <c r="H605" i="3"/>
  <c r="I605" i="3"/>
  <c r="G605" i="3"/>
  <c r="E505" i="3"/>
  <c r="H504" i="3"/>
  <c r="I504" i="3"/>
  <c r="F504" i="3"/>
  <c r="G504" i="3"/>
  <c r="H294" i="3"/>
  <c r="I294" i="3"/>
  <c r="E295" i="3"/>
  <c r="F294" i="3"/>
  <c r="G294" i="3"/>
  <c r="H89" i="3"/>
  <c r="I89" i="3"/>
  <c r="E90" i="3"/>
  <c r="F89" i="3"/>
  <c r="G89" i="3"/>
  <c r="E708" i="3"/>
  <c r="H707" i="3"/>
  <c r="F707" i="3"/>
  <c r="I706" i="3"/>
  <c r="G706" i="3"/>
  <c r="E193" i="3"/>
  <c r="H192" i="3"/>
  <c r="I192" i="3"/>
  <c r="F192" i="3"/>
  <c r="G192" i="3"/>
  <c r="G606" i="3"/>
  <c r="E607" i="3"/>
  <c r="F607" i="3"/>
  <c r="H606" i="3"/>
  <c r="I606" i="3"/>
  <c r="E506" i="3"/>
  <c r="H505" i="3"/>
  <c r="I505" i="3"/>
  <c r="F505" i="3"/>
  <c r="G505" i="3"/>
  <c r="H295" i="3"/>
  <c r="I295" i="3"/>
  <c r="E296" i="3"/>
  <c r="F295" i="3"/>
  <c r="G295" i="3"/>
  <c r="H90" i="3"/>
  <c r="I90" i="3"/>
  <c r="E91" i="3"/>
  <c r="F90" i="3"/>
  <c r="G90" i="3"/>
  <c r="E709" i="3"/>
  <c r="H708" i="3"/>
  <c r="F708" i="3"/>
  <c r="G707" i="3"/>
  <c r="I707" i="3"/>
  <c r="E194" i="3"/>
  <c r="H193" i="3"/>
  <c r="I193" i="3"/>
  <c r="F193" i="3"/>
  <c r="G193" i="3"/>
  <c r="E608" i="3"/>
  <c r="F608" i="3"/>
  <c r="H607" i="3"/>
  <c r="I607" i="3"/>
  <c r="G607" i="3"/>
  <c r="E507" i="3"/>
  <c r="H506" i="3"/>
  <c r="I506" i="3"/>
  <c r="F506" i="3"/>
  <c r="G506" i="3"/>
  <c r="H296" i="3"/>
  <c r="I296" i="3"/>
  <c r="E297" i="3"/>
  <c r="F296" i="3"/>
  <c r="G296" i="3"/>
  <c r="H91" i="3"/>
  <c r="I91" i="3"/>
  <c r="E92" i="3"/>
  <c r="F91" i="3"/>
  <c r="G91" i="3"/>
  <c r="G608" i="3"/>
  <c r="E710" i="3"/>
  <c r="H709" i="3"/>
  <c r="F709" i="3"/>
  <c r="I708" i="3"/>
  <c r="G708" i="3"/>
  <c r="E195" i="3"/>
  <c r="H194" i="3"/>
  <c r="I194" i="3"/>
  <c r="F194" i="3"/>
  <c r="G194" i="3"/>
  <c r="E609" i="3"/>
  <c r="F609" i="3"/>
  <c r="H608" i="3"/>
  <c r="I608" i="3"/>
  <c r="E508" i="3"/>
  <c r="H507" i="3"/>
  <c r="I507" i="3"/>
  <c r="F507" i="3"/>
  <c r="G507" i="3"/>
  <c r="H297" i="3"/>
  <c r="I297" i="3"/>
  <c r="E298" i="3"/>
  <c r="F297" i="3"/>
  <c r="G297" i="3"/>
  <c r="H92" i="3"/>
  <c r="I92" i="3"/>
  <c r="E93" i="3"/>
  <c r="F92" i="3"/>
  <c r="G92" i="3"/>
  <c r="E711" i="3"/>
  <c r="H710" i="3"/>
  <c r="F710" i="3"/>
  <c r="I709" i="3"/>
  <c r="G709" i="3"/>
  <c r="E196" i="3"/>
  <c r="F195" i="3"/>
  <c r="G195" i="3"/>
  <c r="H195" i="3"/>
  <c r="I195" i="3"/>
  <c r="E610" i="3"/>
  <c r="F610" i="3"/>
  <c r="H609" i="3"/>
  <c r="I609" i="3"/>
  <c r="G609" i="3"/>
  <c r="E509" i="3"/>
  <c r="H508" i="3"/>
  <c r="I508" i="3"/>
  <c r="F508" i="3"/>
  <c r="G508" i="3"/>
  <c r="H298" i="3"/>
  <c r="I298" i="3"/>
  <c r="E299" i="3"/>
  <c r="F298" i="3"/>
  <c r="G298" i="3"/>
  <c r="H93" i="3"/>
  <c r="I93" i="3"/>
  <c r="E94" i="3"/>
  <c r="F93" i="3"/>
  <c r="G93" i="3"/>
  <c r="E712" i="3"/>
  <c r="H711" i="3"/>
  <c r="F711" i="3"/>
  <c r="I710" i="3"/>
  <c r="G710" i="3"/>
  <c r="E197" i="3"/>
  <c r="F196" i="3"/>
  <c r="G196" i="3"/>
  <c r="H196" i="3"/>
  <c r="I196" i="3"/>
  <c r="G610" i="3"/>
  <c r="E611" i="3"/>
  <c r="F611" i="3"/>
  <c r="H610" i="3"/>
  <c r="I610" i="3"/>
  <c r="E510" i="3"/>
  <c r="H509" i="3"/>
  <c r="I509" i="3"/>
  <c r="F509" i="3"/>
  <c r="G509" i="3"/>
  <c r="H299" i="3"/>
  <c r="I299" i="3"/>
  <c r="E300" i="3"/>
  <c r="F299" i="3"/>
  <c r="G299" i="3"/>
  <c r="H94" i="3"/>
  <c r="I94" i="3"/>
  <c r="E95" i="3"/>
  <c r="F94" i="3"/>
  <c r="G94" i="3"/>
  <c r="E713" i="3"/>
  <c r="H712" i="3"/>
  <c r="F712" i="3"/>
  <c r="I711" i="3"/>
  <c r="G711" i="3"/>
  <c r="E198" i="3"/>
  <c r="F197" i="3"/>
  <c r="G197" i="3"/>
  <c r="H197" i="3"/>
  <c r="I197" i="3"/>
  <c r="E612" i="3"/>
  <c r="F612" i="3"/>
  <c r="H611" i="3"/>
  <c r="I611" i="3"/>
  <c r="G611" i="3"/>
  <c r="E511" i="3"/>
  <c r="H510" i="3"/>
  <c r="I510" i="3"/>
  <c r="F510" i="3"/>
  <c r="G510" i="3"/>
  <c r="H300" i="3"/>
  <c r="I300" i="3"/>
  <c r="E301" i="3"/>
  <c r="F300" i="3"/>
  <c r="G300" i="3"/>
  <c r="H95" i="3"/>
  <c r="I95" i="3"/>
  <c r="E96" i="3"/>
  <c r="F95" i="3"/>
  <c r="G95" i="3"/>
  <c r="E714" i="3"/>
  <c r="H713" i="3"/>
  <c r="F713" i="3"/>
  <c r="I712" i="3"/>
  <c r="G712" i="3"/>
  <c r="E199" i="3"/>
  <c r="F198" i="3"/>
  <c r="G198" i="3"/>
  <c r="H198" i="3"/>
  <c r="I198" i="3"/>
  <c r="G612" i="3"/>
  <c r="E613" i="3"/>
  <c r="F613" i="3"/>
  <c r="H612" i="3"/>
  <c r="I612" i="3"/>
  <c r="E512" i="3"/>
  <c r="H511" i="3"/>
  <c r="I511" i="3"/>
  <c r="F511" i="3"/>
  <c r="G511" i="3"/>
  <c r="H301" i="3"/>
  <c r="I301" i="3"/>
  <c r="E302" i="3"/>
  <c r="F301" i="3"/>
  <c r="G301" i="3"/>
  <c r="H96" i="3"/>
  <c r="I96" i="3"/>
  <c r="E97" i="3"/>
  <c r="F96" i="3"/>
  <c r="G96" i="3"/>
  <c r="E715" i="3"/>
  <c r="H714" i="3"/>
  <c r="F714" i="3"/>
  <c r="G713" i="3"/>
  <c r="I713" i="3"/>
  <c r="E200" i="3"/>
  <c r="F199" i="3"/>
  <c r="G199" i="3"/>
  <c r="H199" i="3"/>
  <c r="I199" i="3"/>
  <c r="E614" i="3"/>
  <c r="F614" i="3"/>
  <c r="H613" i="3"/>
  <c r="I613" i="3"/>
  <c r="G613" i="3"/>
  <c r="E513" i="3"/>
  <c r="H512" i="3"/>
  <c r="I512" i="3"/>
  <c r="F512" i="3"/>
  <c r="G512" i="3"/>
  <c r="H302" i="3"/>
  <c r="I302" i="3"/>
  <c r="E303" i="3"/>
  <c r="F302" i="3"/>
  <c r="G302" i="3"/>
  <c r="H97" i="3"/>
  <c r="I97" i="3"/>
  <c r="E98" i="3"/>
  <c r="F97" i="3"/>
  <c r="G97" i="3"/>
  <c r="E716" i="3"/>
  <c r="F715" i="3"/>
  <c r="H715" i="3"/>
  <c r="I714" i="3"/>
  <c r="G714" i="3"/>
  <c r="E201" i="3"/>
  <c r="F200" i="3"/>
  <c r="G200" i="3"/>
  <c r="H200" i="3"/>
  <c r="I200" i="3"/>
  <c r="G614" i="3"/>
  <c r="E615" i="3"/>
  <c r="F615" i="3"/>
  <c r="H614" i="3"/>
  <c r="I614" i="3"/>
  <c r="E514" i="3"/>
  <c r="H513" i="3"/>
  <c r="I513" i="3"/>
  <c r="F513" i="3"/>
  <c r="G513" i="3"/>
  <c r="H303" i="3"/>
  <c r="I303" i="3"/>
  <c r="E304" i="3"/>
  <c r="F303" i="3"/>
  <c r="G303" i="3"/>
  <c r="H98" i="3"/>
  <c r="I98" i="3"/>
  <c r="E99" i="3"/>
  <c r="F98" i="3"/>
  <c r="G98" i="3"/>
  <c r="E717" i="3"/>
  <c r="H716" i="3"/>
  <c r="F716" i="3"/>
  <c r="I715" i="3"/>
  <c r="G715" i="3"/>
  <c r="E202" i="3"/>
  <c r="F201" i="3"/>
  <c r="G201" i="3"/>
  <c r="H201" i="3"/>
  <c r="I201" i="3"/>
  <c r="E616" i="3"/>
  <c r="F616" i="3"/>
  <c r="G616" i="3"/>
  <c r="H615" i="3"/>
  <c r="I615" i="3"/>
  <c r="G615" i="3"/>
  <c r="E515" i="3"/>
  <c r="H514" i="3"/>
  <c r="I514" i="3"/>
  <c r="F514" i="3"/>
  <c r="G514" i="3"/>
  <c r="H304" i="3"/>
  <c r="I304" i="3"/>
  <c r="E305" i="3"/>
  <c r="F304" i="3"/>
  <c r="G304" i="3"/>
  <c r="H99" i="3"/>
  <c r="I99" i="3"/>
  <c r="E100" i="3"/>
  <c r="F99" i="3"/>
  <c r="G99" i="3"/>
  <c r="E718" i="3"/>
  <c r="H717" i="3"/>
  <c r="F717" i="3"/>
  <c r="I716" i="3"/>
  <c r="G716" i="3"/>
  <c r="E203" i="3"/>
  <c r="F202" i="3"/>
  <c r="G202" i="3"/>
  <c r="H202" i="3"/>
  <c r="I202" i="3"/>
  <c r="E617" i="3"/>
  <c r="F617" i="3"/>
  <c r="H616" i="3"/>
  <c r="I616" i="3"/>
  <c r="E516" i="3"/>
  <c r="H515" i="3"/>
  <c r="I515" i="3"/>
  <c r="F515" i="3"/>
  <c r="G515" i="3"/>
  <c r="H305" i="3"/>
  <c r="I305" i="3"/>
  <c r="E306" i="3"/>
  <c r="F305" i="3"/>
  <c r="G305" i="3"/>
  <c r="H100" i="3"/>
  <c r="I100" i="3"/>
  <c r="E101" i="3"/>
  <c r="F100" i="3"/>
  <c r="G100" i="3"/>
  <c r="E719" i="3"/>
  <c r="H718" i="3"/>
  <c r="F718" i="3"/>
  <c r="I717" i="3"/>
  <c r="G717" i="3"/>
  <c r="E204" i="3"/>
  <c r="H203" i="3"/>
  <c r="I203" i="3"/>
  <c r="F203" i="3"/>
  <c r="G203" i="3"/>
  <c r="E618" i="3"/>
  <c r="F618" i="3"/>
  <c r="H617" i="3"/>
  <c r="I617" i="3"/>
  <c r="G617" i="3"/>
  <c r="G618" i="3"/>
  <c r="E517" i="3"/>
  <c r="H516" i="3"/>
  <c r="I516" i="3"/>
  <c r="F516" i="3"/>
  <c r="G516" i="3"/>
  <c r="H306" i="3"/>
  <c r="I306" i="3"/>
  <c r="E307" i="3"/>
  <c r="F306" i="3"/>
  <c r="G306" i="3"/>
  <c r="H101" i="3"/>
  <c r="I101" i="3"/>
  <c r="E102" i="3"/>
  <c r="F101" i="3"/>
  <c r="G101" i="3"/>
  <c r="E720" i="3"/>
  <c r="H719" i="3"/>
  <c r="F719" i="3"/>
  <c r="I718" i="3"/>
  <c r="G718" i="3"/>
  <c r="E205" i="3"/>
  <c r="F204" i="3"/>
  <c r="G204" i="3"/>
  <c r="H204" i="3"/>
  <c r="I204" i="3"/>
  <c r="E619" i="3"/>
  <c r="F619" i="3"/>
  <c r="H618" i="3"/>
  <c r="I618" i="3"/>
  <c r="E518" i="3"/>
  <c r="H517" i="3"/>
  <c r="I517" i="3"/>
  <c r="F517" i="3"/>
  <c r="G517" i="3"/>
  <c r="H307" i="3"/>
  <c r="I307" i="3"/>
  <c r="E308" i="3"/>
  <c r="F307" i="3"/>
  <c r="G307" i="3"/>
  <c r="H102" i="3"/>
  <c r="I102" i="3"/>
  <c r="E103" i="3"/>
  <c r="F102" i="3"/>
  <c r="G102" i="3"/>
  <c r="E721" i="3"/>
  <c r="H720" i="3"/>
  <c r="F720" i="3"/>
  <c r="I719" i="3"/>
  <c r="G719" i="3"/>
  <c r="E206" i="3"/>
  <c r="F205" i="3"/>
  <c r="G205" i="3"/>
  <c r="H205" i="3"/>
  <c r="I205" i="3"/>
  <c r="E620" i="3"/>
  <c r="F620" i="3"/>
  <c r="H619" i="3"/>
  <c r="I619" i="3"/>
  <c r="G619" i="3"/>
  <c r="F518" i="3"/>
  <c r="G518" i="3"/>
  <c r="H518" i="3"/>
  <c r="I518" i="3"/>
  <c r="H308" i="3"/>
  <c r="I308" i="3"/>
  <c r="E309" i="3"/>
  <c r="F308" i="3"/>
  <c r="G308" i="3"/>
  <c r="H103" i="3"/>
  <c r="I103" i="3"/>
  <c r="E104" i="3"/>
  <c r="F103" i="3"/>
  <c r="G103" i="3"/>
  <c r="E722" i="3"/>
  <c r="F721" i="3"/>
  <c r="H721" i="3"/>
  <c r="I720" i="3"/>
  <c r="G720" i="3"/>
  <c r="E207" i="3"/>
  <c r="F206" i="3"/>
  <c r="G206" i="3"/>
  <c r="H206" i="3"/>
  <c r="I206" i="3"/>
  <c r="G620" i="3"/>
  <c r="H620" i="3"/>
  <c r="I620" i="3"/>
  <c r="H309" i="3"/>
  <c r="I309" i="3"/>
  <c r="F309" i="3"/>
  <c r="G309" i="3"/>
  <c r="H104" i="3"/>
  <c r="I104" i="3"/>
  <c r="E105" i="3"/>
  <c r="F104" i="3"/>
  <c r="G104" i="3"/>
  <c r="H722" i="3"/>
  <c r="F722" i="3"/>
  <c r="I721" i="3"/>
  <c r="G721" i="3"/>
  <c r="F207" i="3"/>
  <c r="G207" i="3"/>
  <c r="H207" i="3"/>
  <c r="I207" i="3"/>
  <c r="H105" i="3"/>
  <c r="I105" i="3"/>
  <c r="F105" i="3"/>
  <c r="G105" i="3"/>
  <c r="I722" i="3"/>
  <c r="G722" i="3"/>
  <c r="D31" i="15"/>
  <c r="G31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G36" i="15"/>
  <c r="G39" i="15"/>
  <c r="G42" i="15"/>
  <c r="G45" i="15"/>
  <c r="P729" i="3"/>
  <c r="P737" i="3"/>
  <c r="M729" i="3"/>
  <c r="M730" i="3"/>
  <c r="O729" i="3"/>
  <c r="N729" i="3"/>
  <c r="M731" i="3"/>
  <c r="O730" i="3"/>
  <c r="N730" i="3"/>
  <c r="M732" i="3"/>
  <c r="O731" i="3"/>
  <c r="N731" i="3"/>
  <c r="M733" i="3"/>
  <c r="O732" i="3"/>
  <c r="N732" i="3"/>
  <c r="M734" i="3"/>
  <c r="O733" i="3"/>
  <c r="N733" i="3"/>
  <c r="M735" i="3"/>
  <c r="O734" i="3"/>
  <c r="N734" i="3"/>
  <c r="M736" i="3"/>
  <c r="O735" i="3"/>
  <c r="N735" i="3"/>
  <c r="M737" i="3"/>
  <c r="O736" i="3"/>
  <c r="N736" i="3"/>
  <c r="M738" i="3"/>
  <c r="O737" i="3"/>
  <c r="N737" i="3"/>
  <c r="N740" i="3"/>
  <c r="O740" i="3"/>
  <c r="P733" i="3"/>
</calcChain>
</file>

<file path=xl/sharedStrings.xml><?xml version="1.0" encoding="utf-8"?>
<sst xmlns="http://schemas.openxmlformats.org/spreadsheetml/2006/main" count="880" uniqueCount="299">
  <si>
    <t>Distribution:  Normal (also called Gaussian)</t>
  </si>
  <si>
    <t>Parameters</t>
  </si>
  <si>
    <t>μ</t>
  </si>
  <si>
    <t>=NORMDIST(x, μ, σ, FALSE)</t>
  </si>
  <si>
    <t>=NORMINV(z, μ, σ)</t>
  </si>
  <si>
    <t>=NORMDIST(x, μ, σ, TRUE)</t>
  </si>
  <si>
    <t>μ =</t>
  </si>
  <si>
    <t>σ</t>
  </si>
  <si>
    <t>σ =</t>
  </si>
  <si>
    <t>Information</t>
  </si>
  <si>
    <t>pdf</t>
  </si>
  <si>
    <t>cdf</t>
  </si>
  <si>
    <t>Mean</t>
  </si>
  <si>
    <t>Std.Deviation</t>
  </si>
  <si>
    <t>pdf (in Excel)</t>
  </si>
  <si>
    <t>CDF (in Excel)</t>
  </si>
  <si>
    <t>To find z'th percentile</t>
  </si>
  <si>
    <t>see HOPE, page A-15</t>
  </si>
  <si>
    <t>Calculations using the Normal Distribution</t>
  </si>
  <si>
    <t>Parameterized as X ~ Normal(μ, σ)</t>
  </si>
  <si>
    <t>Specify a low value of x =</t>
  </si>
  <si>
    <t>Specify a high value of x =</t>
  </si>
  <si>
    <t>IT IS USED TO PERFORM CALCULATION ON THE OTHER WORKSHEETS</t>
  </si>
  <si>
    <t>Normal Area</t>
  </si>
  <si>
    <t>mean</t>
  </si>
  <si>
    <t>s. dev</t>
  </si>
  <si>
    <t>low x</t>
  </si>
  <si>
    <t>high x</t>
  </si>
  <si>
    <t>min</t>
  </si>
  <si>
    <t>max</t>
  </si>
  <si>
    <t>Norm-X</t>
  </si>
  <si>
    <t>Norm-Y</t>
  </si>
  <si>
    <t>Norm-Area</t>
  </si>
  <si>
    <t>Norm-Seq</t>
  </si>
  <si>
    <t>Variance =</t>
  </si>
  <si>
    <t>5th =</t>
  </si>
  <si>
    <t>50th =</t>
  </si>
  <si>
    <t>95th =</t>
  </si>
  <si>
    <t>Std. Dev. =</t>
  </si>
  <si>
    <t>CDF</t>
  </si>
  <si>
    <t>Monte Carlo sampling using the Normal Distribution</t>
  </si>
  <si>
    <t>i</t>
  </si>
  <si>
    <t>u_i</t>
  </si>
  <si>
    <t>Samples from x_i</t>
  </si>
  <si>
    <t>Mean (from samples) =</t>
  </si>
  <si>
    <t>Std. Dev. (from samples) =</t>
  </si>
  <si>
    <r>
      <t xml:space="preserve">Is Sample </t>
    </r>
    <r>
      <rPr>
        <b/>
        <sz val="11"/>
        <color theme="1"/>
        <rFont val="Calibri"/>
        <family val="2"/>
      </rPr>
      <t>≤ x_high?</t>
    </r>
  </si>
  <si>
    <r>
      <t xml:space="preserve">Pr(X </t>
    </r>
    <r>
      <rPr>
        <b/>
        <sz val="11"/>
        <color theme="1"/>
        <rFont val="Calibri"/>
        <family val="2"/>
      </rPr>
      <t>≤ x_high) from samples</t>
    </r>
  </si>
  <si>
    <t>DO NOT DELETE OR MODIFY THIS PAGE</t>
  </si>
  <si>
    <r>
      <t>5th</t>
    </r>
    <r>
      <rPr>
        <b/>
        <sz val="11"/>
        <color theme="1"/>
        <rFont val="Calibri"/>
        <family val="2"/>
      </rPr>
      <t xml:space="preserve"> from samples</t>
    </r>
  </si>
  <si>
    <r>
      <t>50th</t>
    </r>
    <r>
      <rPr>
        <b/>
        <sz val="11"/>
        <color theme="1"/>
        <rFont val="Calibri"/>
        <family val="2"/>
      </rPr>
      <t xml:space="preserve"> from samples</t>
    </r>
  </si>
  <si>
    <r>
      <t>95th</t>
    </r>
    <r>
      <rPr>
        <b/>
        <sz val="11"/>
        <color theme="1"/>
        <rFont val="Calibri"/>
        <family val="2"/>
      </rPr>
      <t xml:space="preserve"> from samples</t>
    </r>
  </si>
  <si>
    <t>Mean =</t>
  </si>
  <si>
    <t>Bin</t>
  </si>
  <si>
    <t>Count in Bin</t>
  </si>
  <si>
    <t>Normal Distribution (Wikipedia)</t>
  </si>
  <si>
    <t>In SAPHIRE</t>
  </si>
  <si>
    <t>Distribution:  Beta</t>
  </si>
  <si>
    <t>Beta Distribution (Wikipedia)</t>
  </si>
  <si>
    <r>
      <t>Parameterized as X ~ Beta(</t>
    </r>
    <r>
      <rPr>
        <b/>
        <sz val="16"/>
        <color theme="1"/>
        <rFont val="Calibri"/>
        <family val="2"/>
      </rPr>
      <t>α, β</t>
    </r>
    <r>
      <rPr>
        <b/>
        <sz val="16"/>
        <color theme="1"/>
        <rFont val="Calibri"/>
        <family val="2"/>
        <scheme val="minor"/>
      </rPr>
      <t>)</t>
    </r>
  </si>
  <si>
    <t>α =</t>
  </si>
  <si>
    <t>β =</t>
  </si>
  <si>
    <t>Beta Area</t>
  </si>
  <si>
    <t>α/(α+β)</t>
  </si>
  <si>
    <t>=BETADIST(x, α, β)</t>
  </si>
  <si>
    <t>=BETA.DIST(x, α, β, FALSE)
(Excel 2010 or later)</t>
  </si>
  <si>
    <t>=BETAINV(z, α, β)</t>
  </si>
  <si>
    <t>integrate pdf</t>
  </si>
  <si>
    <t>sqrt[mean(1-mean)/(α+β+1)]</t>
  </si>
  <si>
    <t>Calculations using the Beta Distribution</t>
  </si>
  <si>
    <t>Monte Carlo sampling using the Beta Distribution</t>
  </si>
  <si>
    <t>Beta-Seq</t>
  </si>
  <si>
    <t>Beta-X</t>
  </si>
  <si>
    <t>Beta-Y</t>
  </si>
  <si>
    <t>Beta-Area</t>
  </si>
  <si>
    <t>alpha</t>
  </si>
  <si>
    <t>beta</t>
  </si>
  <si>
    <t>Distribution:  Lognormal</t>
  </si>
  <si>
    <t>Lognormal Distribution (Wikipedia)</t>
  </si>
  <si>
    <t>Parameterized as X ~ Lognormal(μ, σ)</t>
  </si>
  <si>
    <t>EF =</t>
  </si>
  <si>
    <t>b (β) =</t>
  </si>
  <si>
    <t>Std. Dev (σ) =</t>
  </si>
  <si>
    <t>EF (error factor) =</t>
  </si>
  <si>
    <t>Calculations using the Lognormal Distribution</t>
  </si>
  <si>
    <t>LN Mean =</t>
  </si>
  <si>
    <t>=NORMDIST(LN(x),  μ, σ, FALSE)</t>
  </si>
  <si>
    <t>=LOGINV(z,  μ, σ)</t>
  </si>
  <si>
    <r>
      <t>exp(μ + σ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/2)</t>
    </r>
  </si>
  <si>
    <t>Lognormal Area</t>
  </si>
  <si>
    <t>LN-Seq</t>
  </si>
  <si>
    <t>LN-X</t>
  </si>
  <si>
    <t>LN-Y</t>
  </si>
  <si>
    <t>LN-Area</t>
  </si>
  <si>
    <t>mu</t>
  </si>
  <si>
    <t>sigma</t>
  </si>
  <si>
    <t>5th</t>
  </si>
  <si>
    <t>50th</t>
  </si>
  <si>
    <t>95th</t>
  </si>
  <si>
    <t>EF</t>
  </si>
  <si>
    <t>Error Factor (EF) =</t>
  </si>
  <si>
    <t>=NORMDIST(LN(x),  μ, σ, TRUE)
or
=LOGNORMDIST(x, μ, σ)</t>
  </si>
  <si>
    <t>Monte Carlo sampling using the Lognormal Distribution</t>
  </si>
  <si>
    <t>Parameter Conversion</t>
  </si>
  <si>
    <t>Median =</t>
  </si>
  <si>
    <t>Curtis.Lee.Smith@gmail.com</t>
  </si>
  <si>
    <t>Precision =</t>
  </si>
  <si>
    <t>In OpenBUGS</t>
  </si>
  <si>
    <t>~ dlnorm(mu,tau)</t>
  </si>
  <si>
    <r>
      <rPr>
        <b/>
        <sz val="14"/>
        <color theme="1"/>
        <rFont val="Calibri"/>
        <family val="2"/>
      </rPr>
      <t>τ</t>
    </r>
    <r>
      <rPr>
        <b/>
        <sz val="14"/>
        <color theme="1"/>
        <rFont val="Calibri"/>
        <family val="2"/>
        <scheme val="minor"/>
      </rPr>
      <t xml:space="preserve"> =</t>
    </r>
  </si>
  <si>
    <t>~ dbeta(alpha,beta)</t>
  </si>
  <si>
    <t>~ dnorm(mu,tau)</t>
  </si>
  <si>
    <t>Distribution:  Poisson</t>
  </si>
  <si>
    <t>Poisson Distribution (Wikipedia)</t>
  </si>
  <si>
    <r>
      <t xml:space="preserve">Parameterized as X ~ Poisson(μ), where μ = </t>
    </r>
    <r>
      <rPr>
        <b/>
        <sz val="16"/>
        <color theme="1"/>
        <rFont val="Calibri"/>
        <family val="2"/>
      </rPr>
      <t>λ*t</t>
    </r>
  </si>
  <si>
    <t>λ =</t>
  </si>
  <si>
    <t>t =</t>
  </si>
  <si>
    <t>years</t>
  </si>
  <si>
    <t>SQRT(μ)</t>
  </si>
  <si>
    <t>Fails to operate (without repair) (3)</t>
  </si>
  <si>
    <t>~ dpois(mu)</t>
  </si>
  <si>
    <t>Aleatory Failure Model =</t>
  </si>
  <si>
    <t>Sum f(x)</t>
  </si>
  <si>
    <t>=POISSON(x, μ, FALSE)</t>
  </si>
  <si>
    <t>=POISSON(x, μ, TRUE)</t>
  </si>
  <si>
    <t>Calculations using the Poisson Distribution</t>
  </si>
  <si>
    <t>Monte Carlo sampling using the Poisson Distribution</t>
  </si>
  <si>
    <t>Look at the CDF</t>
  </si>
  <si>
    <t>Poisson Area</t>
  </si>
  <si>
    <t>POI-Seq</t>
  </si>
  <si>
    <t>POI-X</t>
  </si>
  <si>
    <t>POI-Y</t>
  </si>
  <si>
    <t>POI-Area</t>
  </si>
  <si>
    <t>50th (lower bound) =</t>
  </si>
  <si>
    <t>50th (upper bound) =</t>
  </si>
  <si>
    <t>Distribution:  Gamma</t>
  </si>
  <si>
    <t>Gamma Distribution (Wikipedia)</t>
  </si>
  <si>
    <r>
      <t>Parameterized as X ~ Gamma(</t>
    </r>
    <r>
      <rPr>
        <b/>
        <sz val="16"/>
        <color theme="1"/>
        <rFont val="Calibri"/>
        <family val="2"/>
      </rPr>
      <t>α, β</t>
    </r>
    <r>
      <rPr>
        <b/>
        <sz val="16"/>
        <color theme="1"/>
        <rFont val="Calibri"/>
        <family val="2"/>
        <scheme val="minor"/>
      </rPr>
      <t>)</t>
    </r>
  </si>
  <si>
    <t>=GAMMAINV(z, α, 1/β)</t>
  </si>
  <si>
    <t>Note that Excel uses 1/β for the second parameter in it Gamma distributions</t>
  </si>
  <si>
    <t>~ dgamma(alpha,beta)</t>
  </si>
  <si>
    <t>α/β</t>
  </si>
  <si>
    <t>=GAMMADIST(x, α, 1/β)</t>
  </si>
  <si>
    <t>Calculations using the Gamma Distribution</t>
  </si>
  <si>
    <t>Monte Carlo sampling using the Gamma Distribution</t>
  </si>
  <si>
    <t>sqrt[α/β^2]</t>
  </si>
  <si>
    <r>
      <t>C</t>
    </r>
    <r>
      <rPr>
        <sz val="16"/>
        <color theme="1"/>
        <rFont val="Times New Roman"/>
        <family val="1"/>
      </rPr>
      <t>λ</t>
    </r>
    <r>
      <rPr>
        <vertAlign val="superscript"/>
        <sz val="16"/>
        <color theme="1"/>
        <rFont val="Times New Roman"/>
        <family val="1"/>
      </rPr>
      <t>α-1</t>
    </r>
    <r>
      <rPr>
        <sz val="16"/>
        <color theme="1"/>
        <rFont val="Arial"/>
        <family val="2"/>
      </rPr>
      <t>e</t>
    </r>
    <r>
      <rPr>
        <vertAlign val="superscript"/>
        <sz val="16"/>
        <color theme="1"/>
        <rFont val="Arial"/>
        <family val="2"/>
      </rPr>
      <t>-</t>
    </r>
    <r>
      <rPr>
        <vertAlign val="superscript"/>
        <sz val="16"/>
        <color theme="1"/>
        <rFont val="Times New Roman"/>
        <family val="1"/>
      </rPr>
      <t>λ</t>
    </r>
    <r>
      <rPr>
        <vertAlign val="superscript"/>
        <sz val="16"/>
        <color theme="1"/>
        <rFont val="Arial"/>
        <family val="2"/>
      </rPr>
      <t>β</t>
    </r>
  </si>
  <si>
    <t>=GAMMADIST(x, α, 1/β, FALSE)</t>
  </si>
  <si>
    <t>Gamma Area</t>
  </si>
  <si>
    <t>Seq</t>
  </si>
  <si>
    <t>X</t>
  </si>
  <si>
    <t>Y</t>
  </si>
  <si>
    <t>Area</t>
  </si>
  <si>
    <t>Distribution:  Exponential</t>
  </si>
  <si>
    <r>
      <t>Parameterized as T ~ Exponential(</t>
    </r>
    <r>
      <rPr>
        <b/>
        <sz val="16"/>
        <color theme="1"/>
        <rFont val="Calibri"/>
        <family val="2"/>
      </rPr>
      <t>λ</t>
    </r>
    <r>
      <rPr>
        <b/>
        <sz val="16"/>
        <color theme="1"/>
        <rFont val="Calibri"/>
        <family val="2"/>
        <scheme val="minor"/>
      </rPr>
      <t>)</t>
    </r>
  </si>
  <si>
    <t>Exponential Distribution (Wikipedia)</t>
  </si>
  <si>
    <t>~ dexp(lambda)</t>
  </si>
  <si>
    <r>
      <t>λe</t>
    </r>
    <r>
      <rPr>
        <b/>
        <vertAlign val="superscript"/>
        <sz val="14"/>
        <color theme="1"/>
        <rFont val="Calibri"/>
        <family val="2"/>
        <scheme val="minor"/>
      </rPr>
      <t>-λt</t>
    </r>
  </si>
  <si>
    <r>
      <t>1-e</t>
    </r>
    <r>
      <rPr>
        <b/>
        <vertAlign val="superscript"/>
        <sz val="14"/>
        <color theme="1"/>
        <rFont val="Calibri"/>
        <family val="2"/>
        <scheme val="minor"/>
      </rPr>
      <t>-λt</t>
    </r>
  </si>
  <si>
    <t>1/λ</t>
  </si>
  <si>
    <t>Calculations using the Exponential Distribution</t>
  </si>
  <si>
    <t>Specify a low value of t =</t>
  </si>
  <si>
    <t>Specify a high value of t =</t>
  </si>
  <si>
    <t>Monte Carlo sampling using the Exponential Distribution</t>
  </si>
  <si>
    <r>
      <t xml:space="preserve">=EXPONDIST(x, </t>
    </r>
    <r>
      <rPr>
        <b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  <scheme val="minor"/>
      </rPr>
      <t>, FALSE)</t>
    </r>
  </si>
  <si>
    <r>
      <t xml:space="preserve">=EXPONDIST(x, </t>
    </r>
    <r>
      <rPr>
        <b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  <scheme val="minor"/>
      </rPr>
      <t>, TRUE)</t>
    </r>
  </si>
  <si>
    <r>
      <t>=-LN(1-z)/</t>
    </r>
    <r>
      <rPr>
        <b/>
        <sz val="11"/>
        <color theme="1"/>
        <rFont val="Calibri"/>
        <family val="2"/>
      </rPr>
      <t>λ</t>
    </r>
  </si>
  <si>
    <t>Exponential Area</t>
  </si>
  <si>
    <t>lambda</t>
  </si>
  <si>
    <r>
      <t>mean(sqrt(exp(σ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)-1))</t>
    </r>
  </si>
  <si>
    <t>Std. Dev.</t>
  </si>
  <si>
    <t>Binomial Data</t>
  </si>
  <si>
    <t>This worksheet performs conjugate Bayesian updating calculations</t>
  </si>
  <si>
    <t>Informed Prior</t>
  </si>
  <si>
    <t>Jeffreys Prior</t>
  </si>
  <si>
    <t>Constrained Non-informative (CNI) Prior</t>
  </si>
  <si>
    <t>Data Observed</t>
  </si>
  <si>
    <t>n =</t>
  </si>
  <si>
    <t>x =</t>
  </si>
  <si>
    <t xml:space="preserve"> (number of failures)</t>
  </si>
  <si>
    <t xml:space="preserve"> (number of demands)</t>
  </si>
  <si>
    <t>Beta(α, β)</t>
  </si>
  <si>
    <t>Beta(α, β), where α and β are specified on the Beta worksheet</t>
  </si>
  <si>
    <r>
      <t>Beta(</t>
    </r>
    <r>
      <rPr>
        <sz val="14"/>
        <color theme="1"/>
        <rFont val="Calibri"/>
        <family val="2"/>
      </rPr>
      <t>½</t>
    </r>
    <r>
      <rPr>
        <sz val="14"/>
        <color theme="1"/>
        <rFont val="Calibri"/>
        <family val="2"/>
        <scheme val="minor"/>
      </rPr>
      <t>, ½)</t>
    </r>
  </si>
  <si>
    <t>Posterior Results</t>
  </si>
  <si>
    <t>Posterior Distribution =</t>
  </si>
  <si>
    <t>Informed</t>
  </si>
  <si>
    <t>Jeffreys</t>
  </si>
  <si>
    <t>CNI</t>
  </si>
  <si>
    <t>25th =</t>
  </si>
  <si>
    <t>mean =</t>
  </si>
  <si>
    <t>75th =</t>
  </si>
  <si>
    <t>Poisson Data</t>
  </si>
  <si>
    <r>
      <t>For Poisson Data, the conjugate prior is Gamma(</t>
    </r>
    <r>
      <rPr>
        <b/>
        <sz val="16"/>
        <color theme="1"/>
        <rFont val="Calibri"/>
        <family val="2"/>
      </rPr>
      <t>α, β</t>
    </r>
    <r>
      <rPr>
        <b/>
        <sz val="16"/>
        <color theme="1"/>
        <rFont val="Calibri"/>
        <family val="2"/>
        <scheme val="minor"/>
      </rPr>
      <t>)</t>
    </r>
  </si>
  <si>
    <r>
      <t>For Binomal Data, the conjugate prior is Beta(</t>
    </r>
    <r>
      <rPr>
        <b/>
        <sz val="16"/>
        <color theme="1"/>
        <rFont val="Calibri"/>
        <family val="2"/>
      </rPr>
      <t>α, β</t>
    </r>
    <r>
      <rPr>
        <b/>
        <sz val="16"/>
        <color theme="1"/>
        <rFont val="Calibri"/>
        <family val="2"/>
        <scheme val="minor"/>
      </rPr>
      <t>)</t>
    </r>
  </si>
  <si>
    <t xml:space="preserve">Data Observed </t>
  </si>
  <si>
    <t xml:space="preserve"> (observed time)</t>
  </si>
  <si>
    <r>
      <t>Gamma(</t>
    </r>
    <r>
      <rPr>
        <sz val="14"/>
        <color theme="1"/>
        <rFont val="Calibri"/>
        <family val="2"/>
      </rPr>
      <t>½</t>
    </r>
    <r>
      <rPr>
        <sz val="14"/>
        <color theme="1"/>
        <rFont val="Calibri"/>
        <family val="2"/>
        <scheme val="minor"/>
      </rPr>
      <t>, 0)</t>
    </r>
  </si>
  <si>
    <t>Gamma(α, β)</t>
  </si>
  <si>
    <t>delta</t>
  </si>
  <si>
    <r>
      <t xml:space="preserve">Gamma(α, β), where α and β are specified on the </t>
    </r>
    <r>
      <rPr>
        <b/>
        <sz val="14"/>
        <color theme="1"/>
        <rFont val="Calibri"/>
        <family val="2"/>
        <scheme val="minor"/>
      </rPr>
      <t>Gamma worksheet</t>
    </r>
  </si>
  <si>
    <t>Exponential Data</t>
  </si>
  <si>
    <r>
      <t>For Exponential Data, the conjugate prior is Gamma(</t>
    </r>
    <r>
      <rPr>
        <b/>
        <sz val="16"/>
        <color theme="1"/>
        <rFont val="Calibri"/>
        <family val="2"/>
      </rPr>
      <t>α, β</t>
    </r>
    <r>
      <rPr>
        <b/>
        <sz val="16"/>
        <color theme="1"/>
        <rFont val="Calibri"/>
        <family val="2"/>
        <scheme val="minor"/>
      </rPr>
      <t>)</t>
    </r>
  </si>
  <si>
    <t>Gamma(0, 0)</t>
  </si>
  <si>
    <t>times =</t>
  </si>
  <si>
    <t>number of times =</t>
  </si>
  <si>
    <t>MTT_ =</t>
  </si>
  <si>
    <t>"r" (i.e., α) =</t>
  </si>
  <si>
    <t>Distribution:  Weibull</t>
  </si>
  <si>
    <r>
      <t>Parameterized as T ~ Weibull(</t>
    </r>
    <r>
      <rPr>
        <b/>
        <sz val="16"/>
        <color theme="1"/>
        <rFont val="Calibri"/>
        <family val="2"/>
      </rPr>
      <t>α, β</t>
    </r>
    <r>
      <rPr>
        <b/>
        <sz val="16"/>
        <color theme="1"/>
        <rFont val="Calibri"/>
        <family val="2"/>
        <scheme val="minor"/>
      </rPr>
      <t>)</t>
    </r>
  </si>
  <si>
    <r>
      <rPr>
        <b/>
        <sz val="14"/>
        <color theme="1"/>
        <rFont val="Calibri"/>
        <family val="2"/>
      </rPr>
      <t>α</t>
    </r>
    <r>
      <rPr>
        <b/>
        <sz val="14"/>
        <color theme="1"/>
        <rFont val="Calibri"/>
        <family val="2"/>
        <scheme val="minor"/>
      </rPr>
      <t xml:space="preserve"> =</t>
    </r>
  </si>
  <si>
    <t>Calculations using the Weibull Distribution</t>
  </si>
  <si>
    <t>Monte Carlo sampling using the Weibull Distribution</t>
  </si>
  <si>
    <t>Weibull Distribution (Wikipedia)</t>
  </si>
  <si>
    <r>
      <t>~ dweib(</t>
    </r>
    <r>
      <rPr>
        <b/>
        <sz val="14"/>
        <color theme="1"/>
        <rFont val="Calibri"/>
        <family val="2"/>
      </rPr>
      <t>β, λ</t>
    </r>
    <r>
      <rPr>
        <b/>
        <sz val="14"/>
        <color theme="1"/>
        <rFont val="Calibri"/>
        <family val="2"/>
        <scheme val="minor"/>
      </rPr>
      <t>)</t>
    </r>
  </si>
  <si>
    <r>
      <rPr>
        <b/>
        <sz val="14"/>
        <color theme="1"/>
        <rFont val="Calibri"/>
        <family val="2"/>
      </rPr>
      <t>λ</t>
    </r>
    <r>
      <rPr>
        <b/>
        <sz val="14"/>
        <color theme="1"/>
        <rFont val="Calibri"/>
        <family val="2"/>
        <scheme val="minor"/>
      </rPr>
      <t xml:space="preserve"> =</t>
    </r>
  </si>
  <si>
    <t>Median</t>
  </si>
  <si>
    <t>Weibull  Area</t>
  </si>
  <si>
    <r>
      <t xml:space="preserve">Is Sample </t>
    </r>
    <r>
      <rPr>
        <b/>
        <sz val="11"/>
        <color theme="1"/>
        <rFont val="Calibri"/>
        <family val="2"/>
      </rPr>
      <t>≤ t_high?</t>
    </r>
  </si>
  <si>
    <r>
      <t xml:space="preserve">Pr(T </t>
    </r>
    <r>
      <rPr>
        <b/>
        <sz val="11"/>
        <color theme="1"/>
        <rFont val="Calibri"/>
        <family val="2"/>
      </rPr>
      <t>≤ t_high) from samples</t>
    </r>
  </si>
  <si>
    <t>Samples from t_i</t>
  </si>
  <si>
    <r>
      <t>1-exp[-(t/β)</t>
    </r>
    <r>
      <rPr>
        <b/>
        <vertAlign val="superscript"/>
        <sz val="14"/>
        <color theme="1"/>
        <rFont val="Calibri"/>
        <family val="2"/>
        <scheme val="minor"/>
      </rPr>
      <t>α</t>
    </r>
    <r>
      <rPr>
        <b/>
        <sz val="14"/>
        <color theme="1"/>
        <rFont val="Calibri"/>
        <family val="2"/>
        <scheme val="minor"/>
      </rPr>
      <t>]</t>
    </r>
  </si>
  <si>
    <r>
      <rPr>
        <b/>
        <sz val="14"/>
        <color theme="1"/>
        <rFont val="Calibri"/>
        <family val="2"/>
      </rPr>
      <t xml:space="preserve">β </t>
    </r>
    <r>
      <rPr>
        <b/>
        <sz val="14"/>
        <color theme="1"/>
        <rFont val="Times New Roman"/>
        <family val="1"/>
      </rPr>
      <t>Γ</t>
    </r>
    <r>
      <rPr>
        <b/>
        <sz val="14"/>
        <color theme="1"/>
        <rFont val="Calibri"/>
        <family val="2"/>
        <scheme val="minor"/>
      </rPr>
      <t>(1+1/</t>
    </r>
    <r>
      <rPr>
        <b/>
        <sz val="14"/>
        <color theme="1"/>
        <rFont val="Calibri"/>
        <family val="2"/>
      </rPr>
      <t>α)</t>
    </r>
  </si>
  <si>
    <r>
      <rPr>
        <b/>
        <sz val="14"/>
        <color theme="1"/>
        <rFont val="Calibri"/>
        <family val="2"/>
      </rPr>
      <t>β</t>
    </r>
    <r>
      <rPr>
        <b/>
        <sz val="14"/>
        <color theme="1"/>
        <rFont val="Calibri"/>
        <family val="2"/>
        <scheme val="minor"/>
      </rPr>
      <t>(ln(2))</t>
    </r>
    <r>
      <rPr>
        <b/>
        <vertAlign val="superscript"/>
        <sz val="14"/>
        <color theme="1"/>
        <rFont val="Calibri"/>
        <family val="2"/>
        <scheme val="minor"/>
      </rPr>
      <t>1/</t>
    </r>
    <r>
      <rPr>
        <b/>
        <vertAlign val="superscript"/>
        <sz val="14"/>
        <color theme="1"/>
        <rFont val="Calibri"/>
        <family val="2"/>
      </rPr>
      <t>α</t>
    </r>
  </si>
  <si>
    <r>
      <t xml:space="preserve">=WEIBULL(x, </t>
    </r>
    <r>
      <rPr>
        <b/>
        <sz val="12"/>
        <color theme="1"/>
        <rFont val="Calibri"/>
        <family val="2"/>
      </rPr>
      <t>α</t>
    </r>
    <r>
      <rPr>
        <b/>
        <sz val="12"/>
        <color theme="1"/>
        <rFont val="Calibri"/>
        <family val="2"/>
        <scheme val="minor"/>
      </rPr>
      <t>, β, FALSE)</t>
    </r>
  </si>
  <si>
    <t>=WEIBULL(x, α, β, TRUE)</t>
  </si>
  <si>
    <r>
      <t>=</t>
    </r>
    <r>
      <rPr>
        <b/>
        <sz val="12"/>
        <color theme="1"/>
        <rFont val="Calibri"/>
        <family val="2"/>
      </rPr>
      <t>β(</t>
    </r>
    <r>
      <rPr>
        <b/>
        <sz val="12"/>
        <color theme="1"/>
        <rFont val="Calibri"/>
        <family val="2"/>
        <scheme val="minor"/>
      </rPr>
      <t>-LN(1-z))</t>
    </r>
    <r>
      <rPr>
        <b/>
        <vertAlign val="superscript"/>
        <sz val="12"/>
        <color theme="1"/>
        <rFont val="Calibri"/>
        <family val="2"/>
        <scheme val="minor"/>
      </rPr>
      <t>1/α</t>
    </r>
  </si>
  <si>
    <r>
      <rPr>
        <b/>
        <sz val="14"/>
        <color theme="1"/>
        <rFont val="Calibri"/>
        <family val="2"/>
      </rPr>
      <t>(α/β)(t/β)</t>
    </r>
    <r>
      <rPr>
        <b/>
        <vertAlign val="superscript"/>
        <sz val="14"/>
        <color theme="1"/>
        <rFont val="Calibri"/>
        <family val="2"/>
      </rPr>
      <t>α-1</t>
    </r>
    <r>
      <rPr>
        <b/>
        <sz val="14"/>
        <color theme="1"/>
        <rFont val="Calibri"/>
        <family val="2"/>
        <scheme val="minor"/>
      </rPr>
      <t>exp[-(t/β)</t>
    </r>
    <r>
      <rPr>
        <b/>
        <vertAlign val="superscript"/>
        <sz val="14"/>
        <color theme="1"/>
        <rFont val="Calibri"/>
        <family val="2"/>
        <scheme val="minor"/>
      </rPr>
      <t>α</t>
    </r>
    <r>
      <rPr>
        <b/>
        <sz val="14"/>
        <color theme="1"/>
        <rFont val="Calibri"/>
        <family val="2"/>
        <scheme val="minor"/>
      </rPr>
      <t>]</t>
    </r>
  </si>
  <si>
    <t>Distribution:  Binomial</t>
  </si>
  <si>
    <t>Binomial Distribution (Wikipedia)</t>
  </si>
  <si>
    <t>Parameterized as X ~ Binomial(p, n)</t>
  </si>
  <si>
    <t>p =</t>
  </si>
  <si>
    <t>Failure Probability (1)</t>
  </si>
  <si>
    <t>~ dbin(p, n)</t>
  </si>
  <si>
    <t>n*p</t>
  </si>
  <si>
    <t>sqrt[n*p*(1-p)]</t>
  </si>
  <si>
    <t>=BINOMDIST(x, n, p, FALSE)</t>
  </si>
  <si>
    <t>=BINOMDIST(x, n, p, TRUE)</t>
  </si>
  <si>
    <t>=CRITBINOM(n, p, z)</t>
  </si>
  <si>
    <t>Calculations using the Binomial Distribution</t>
  </si>
  <si>
    <t>Binomial Area</t>
  </si>
  <si>
    <t>p</t>
  </si>
  <si>
    <t>n</t>
  </si>
  <si>
    <t>Monte Carlo sampling using the Binomial Distribution</t>
  </si>
  <si>
    <t>demands</t>
  </si>
  <si>
    <t>Generalized Extreme Value</t>
  </si>
  <si>
    <t>Generalized Extreme Value Distribution (Wikipedia)</t>
  </si>
  <si>
    <t>η =</t>
  </si>
  <si>
    <r>
      <rPr>
        <b/>
        <sz val="14"/>
        <color theme="1"/>
        <rFont val="Calibri"/>
        <family val="2"/>
      </rPr>
      <t>μ</t>
    </r>
    <r>
      <rPr>
        <b/>
        <sz val="14"/>
        <color theme="1"/>
        <rFont val="Calibri"/>
        <family val="2"/>
        <scheme val="minor"/>
      </rPr>
      <t xml:space="preserve"> =</t>
    </r>
  </si>
  <si>
    <r>
      <t xml:space="preserve">~ dgev(μ, </t>
    </r>
    <r>
      <rPr>
        <b/>
        <sz val="14"/>
        <color theme="1"/>
        <rFont val="Calibri"/>
        <family val="2"/>
      </rPr>
      <t>σ, η</t>
    </r>
    <r>
      <rPr>
        <b/>
        <sz val="14"/>
        <color theme="1"/>
        <rFont val="Calibri"/>
        <family val="2"/>
        <scheme val="minor"/>
      </rPr>
      <t>)</t>
    </r>
  </si>
  <si>
    <r>
      <t>Parameterized as T ~ GEV(</t>
    </r>
    <r>
      <rPr>
        <b/>
        <sz val="16"/>
        <color theme="1"/>
        <rFont val="Calibri"/>
        <family val="2"/>
      </rPr>
      <t>μ, σ, η)</t>
    </r>
  </si>
  <si>
    <t>Calculations using the GEV Distribution</t>
  </si>
  <si>
    <t>Monte Carlo sampling using the GEV Distribution</t>
  </si>
  <si>
    <t>see Wikipedia</t>
  </si>
  <si>
    <t>na</t>
  </si>
  <si>
    <t>GEV  Area</t>
  </si>
  <si>
    <t>t(x)</t>
  </si>
  <si>
    <t>Low Support</t>
  </si>
  <si>
    <t>High Support</t>
  </si>
  <si>
    <t>CDF HIGHLIGHTED</t>
  </si>
  <si>
    <t>Beta-Binomial Area</t>
  </si>
  <si>
    <t>alpha_post</t>
  </si>
  <si>
    <t>alpha_prior</t>
  </si>
  <si>
    <t>beta_prior</t>
  </si>
  <si>
    <t>y_post</t>
  </si>
  <si>
    <t>y_prior</t>
  </si>
  <si>
    <t>beta_post</t>
  </si>
  <si>
    <t>INFORMED SECTION</t>
  </si>
  <si>
    <t>JEFFREYS SECTION</t>
  </si>
  <si>
    <t>CNI SECTION</t>
  </si>
  <si>
    <t>x_jeffreys</t>
  </si>
  <si>
    <t>x_CNI</t>
  </si>
  <si>
    <t>Gamma-Poisson Area</t>
  </si>
  <si>
    <t>Gamma-Seq</t>
  </si>
  <si>
    <t>Gamma-X</t>
  </si>
  <si>
    <t>Developed by Curtis Smith 2012-2018  Curtis.Smith@inl.gov 208-526-9804</t>
  </si>
  <si>
    <t>Gamma-Exponential Area</t>
  </si>
  <si>
    <t>Distribution:  Uniform</t>
  </si>
  <si>
    <r>
      <t>Parameterized as X ~ Uniform(lower</t>
    </r>
    <r>
      <rPr>
        <b/>
        <sz val="16"/>
        <color theme="1"/>
        <rFont val="Calibri"/>
        <family val="2"/>
      </rPr>
      <t>, upper</t>
    </r>
    <r>
      <rPr>
        <b/>
        <sz val="16"/>
        <color theme="1"/>
        <rFont val="Calibri"/>
        <family val="2"/>
        <scheme val="minor"/>
      </rPr>
      <t>)</t>
    </r>
  </si>
  <si>
    <t>Uniform Distribution (Wikipedia)</t>
  </si>
  <si>
    <t>lower =</t>
  </si>
  <si>
    <t>upper =</t>
  </si>
  <si>
    <t>~ dunif(lower,upper)</t>
  </si>
  <si>
    <t>Calculations using the Uniform Distribution</t>
  </si>
  <si>
    <t>Uniform Area</t>
  </si>
  <si>
    <t>Uniform-Seq</t>
  </si>
  <si>
    <t>Uniform-X</t>
  </si>
  <si>
    <t>1/(upper-lower)</t>
  </si>
  <si>
    <t>(lower+upper)/2</t>
  </si>
  <si>
    <t>lower</t>
  </si>
  <si>
    <t>upper</t>
  </si>
  <si>
    <t>sqrt[(upper-lower)^2]</t>
  </si>
  <si>
    <t>=1/(upper-lower)</t>
  </si>
  <si>
    <t>(x-lower)/ (upper-lower)</t>
  </si>
  <si>
    <t>=(x-lower)/(upper-lower)</t>
  </si>
  <si>
    <t>=lower+z*(upper-lower)</t>
  </si>
  <si>
    <t>Monte Carlo sampling using the Uniform Distribution</t>
  </si>
  <si>
    <r>
      <rPr>
        <b/>
        <sz val="14"/>
        <color theme="1"/>
        <rFont val="Calibri"/>
        <family val="2"/>
        <scheme val="minor"/>
      </rPr>
      <t>M</t>
    </r>
    <r>
      <rPr>
        <sz val="14"/>
        <color theme="1"/>
        <rFont val="Calibri"/>
        <family val="2"/>
        <scheme val="minor"/>
      </rPr>
      <t xml:space="preserve">ean </t>
    </r>
    <r>
      <rPr>
        <b/>
        <sz val="14"/>
        <color theme="1"/>
        <rFont val="Calibri"/>
        <family val="2"/>
        <scheme val="minor"/>
      </rPr>
      <t>T</t>
    </r>
    <r>
      <rPr>
        <sz val="14"/>
        <color theme="1"/>
        <rFont val="Calibri"/>
        <family val="2"/>
        <scheme val="minor"/>
      </rPr>
      <t>ime to ___ (e.g., Restore, Recover, Fail..)</t>
    </r>
  </si>
  <si>
    <t>Must use 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</si>
</sst>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"/>
    <numFmt numFmtId="167" formatCode="0.0E+00"/>
    <numFmt numFmtId="168" formatCode="0.000E+0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u/>
      <sz val="11"/>
      <color theme="10"/>
      <name val="Calibri"/>
      <family val="2"/>
    </font>
    <font>
      <b/>
      <u/>
      <sz val="12"/>
      <color theme="1"/>
      <name val="Calibri"/>
      <family val="2"/>
    </font>
    <font>
      <b/>
      <sz val="16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6"/>
      <color theme="1"/>
      <name val="Arial"/>
      <family val="2"/>
    </font>
    <font>
      <sz val="16"/>
      <color theme="1"/>
      <name val="Times New Roman"/>
      <family val="1"/>
    </font>
    <font>
      <vertAlign val="superscript"/>
      <sz val="16"/>
      <color theme="1"/>
      <name val="Times New Roman"/>
      <family val="1"/>
    </font>
    <font>
      <vertAlign val="superscript"/>
      <sz val="16"/>
      <color theme="1"/>
      <name val="Arial"/>
      <family val="2"/>
    </font>
    <font>
      <b/>
      <vertAlign val="super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1"/>
      <color theme="6" tint="0.7999816888943144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vertAlign val="superscript"/>
      <sz val="14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4" borderId="0" xfId="0" applyFont="1" applyFill="1"/>
    <xf numFmtId="0" fontId="3" fillId="4" borderId="0" xfId="0" applyFont="1" applyFill="1" applyAlignment="1">
      <alignment horizontal="right"/>
    </xf>
    <xf numFmtId="0" fontId="0" fillId="4" borderId="0" xfId="0" applyFill="1"/>
    <xf numFmtId="0" fontId="5" fillId="4" borderId="0" xfId="0" applyFont="1" applyFill="1"/>
    <xf numFmtId="0" fontId="4" fillId="4" borderId="0" xfId="0" applyFont="1" applyFill="1"/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wrapText="1"/>
    </xf>
    <xf numFmtId="0" fontId="3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quotePrefix="1" applyFont="1" applyFill="1" applyAlignment="1">
      <alignment horizontal="center" vertical="center" wrapText="1"/>
    </xf>
    <xf numFmtId="0" fontId="1" fillId="4" borderId="0" xfId="0" quotePrefix="1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9" fillId="2" borderId="0" xfId="0" applyFont="1" applyFill="1"/>
    <xf numFmtId="0" fontId="10" fillId="2" borderId="0" xfId="0" applyFont="1" applyFill="1"/>
    <xf numFmtId="164" fontId="2" fillId="2" borderId="0" xfId="0" applyNumberFormat="1" applyFont="1" applyFill="1" applyAlignment="1">
      <alignment horizontal="left"/>
    </xf>
    <xf numFmtId="164" fontId="0" fillId="0" borderId="0" xfId="0" applyNumberFormat="1"/>
    <xf numFmtId="0" fontId="2" fillId="2" borderId="0" xfId="0" applyFont="1" applyFill="1" applyBorder="1" applyAlignment="1">
      <alignment horizontal="left"/>
    </xf>
    <xf numFmtId="2" fontId="2" fillId="2" borderId="0" xfId="0" applyNumberFormat="1" applyFont="1" applyFill="1" applyAlignment="1">
      <alignment horizontal="left"/>
    </xf>
    <xf numFmtId="164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1" fillId="4" borderId="0" xfId="0" applyFont="1" applyFill="1" applyAlignment="1">
      <alignment horizontal="right"/>
    </xf>
    <xf numFmtId="0" fontId="2" fillId="4" borderId="2" xfId="0" applyFont="1" applyFill="1" applyBorder="1" applyAlignment="1">
      <alignment horizontal="center"/>
    </xf>
    <xf numFmtId="2" fontId="1" fillId="4" borderId="0" xfId="0" applyNumberFormat="1" applyFont="1" applyFill="1" applyAlignment="1">
      <alignment horizontal="left"/>
    </xf>
    <xf numFmtId="0" fontId="0" fillId="4" borderId="2" xfId="0" applyFill="1" applyBorder="1"/>
    <xf numFmtId="0" fontId="1" fillId="4" borderId="2" xfId="0" applyFont="1" applyFill="1" applyBorder="1"/>
    <xf numFmtId="0" fontId="11" fillId="0" borderId="0" xfId="0" applyFont="1"/>
    <xf numFmtId="0" fontId="1" fillId="4" borderId="2" xfId="0" applyFont="1" applyFill="1" applyBorder="1" applyAlignment="1">
      <alignment horizontal="center"/>
    </xf>
    <xf numFmtId="0" fontId="0" fillId="0" borderId="0" xfId="0" applyFill="1"/>
    <xf numFmtId="165" fontId="0" fillId="0" borderId="0" xfId="0" applyNumberFormat="1"/>
    <xf numFmtId="0" fontId="13" fillId="4" borderId="0" xfId="1" applyFont="1" applyFill="1" applyAlignment="1" applyProtection="1"/>
    <xf numFmtId="0" fontId="3" fillId="2" borderId="0" xfId="0" applyFont="1" applyFill="1" applyAlignment="1">
      <alignment horizontal="left"/>
    </xf>
    <xf numFmtId="0" fontId="12" fillId="4" borderId="0" xfId="1" applyFill="1" applyAlignment="1" applyProtection="1"/>
    <xf numFmtId="2" fontId="0" fillId="0" borderId="0" xfId="0" applyNumberFormat="1"/>
    <xf numFmtId="164" fontId="3" fillId="2" borderId="0" xfId="0" applyNumberFormat="1" applyFont="1" applyFill="1" applyAlignment="1">
      <alignment horizontal="left"/>
    </xf>
    <xf numFmtId="2" fontId="0" fillId="0" borderId="0" xfId="0" applyNumberFormat="1" applyFill="1"/>
    <xf numFmtId="11" fontId="3" fillId="2" borderId="0" xfId="0" applyNumberFormat="1" applyFont="1" applyFill="1" applyAlignment="1">
      <alignment horizontal="left"/>
    </xf>
    <xf numFmtId="11" fontId="2" fillId="2" borderId="0" xfId="0" applyNumberFormat="1" applyFont="1" applyFill="1" applyAlignment="1">
      <alignment horizontal="left"/>
    </xf>
    <xf numFmtId="11" fontId="0" fillId="4" borderId="0" xfId="0" applyNumberFormat="1" applyFill="1" applyAlignment="1">
      <alignment horizontal="center"/>
    </xf>
    <xf numFmtId="11" fontId="1" fillId="4" borderId="0" xfId="0" applyNumberFormat="1" applyFont="1" applyFill="1" applyAlignment="1">
      <alignment horizontal="left"/>
    </xf>
    <xf numFmtId="0" fontId="1" fillId="4" borderId="0" xfId="0" applyFont="1" applyFill="1" applyAlignment="1">
      <alignment horizontal="center" vertical="center"/>
    </xf>
    <xf numFmtId="11" fontId="0" fillId="0" borderId="0" xfId="0" applyNumberFormat="1"/>
    <xf numFmtId="11" fontId="0" fillId="0" borderId="0" xfId="0" applyNumberFormat="1" applyFill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2" fontId="2" fillId="2" borderId="5" xfId="0" applyNumberFormat="1" applyFont="1" applyFill="1" applyBorder="1" applyAlignment="1">
      <alignment horizontal="left"/>
    </xf>
    <xf numFmtId="0" fontId="3" fillId="3" borderId="1" xfId="0" applyFont="1" applyFill="1" applyBorder="1" applyAlignment="1" applyProtection="1">
      <alignment horizontal="left"/>
      <protection locked="0"/>
    </xf>
    <xf numFmtId="164" fontId="2" fillId="2" borderId="8" xfId="0" applyNumberFormat="1" applyFont="1" applyFill="1" applyBorder="1" applyAlignment="1">
      <alignment horizontal="left"/>
    </xf>
    <xf numFmtId="11" fontId="2" fillId="3" borderId="4" xfId="0" applyNumberFormat="1" applyFont="1" applyFill="1" applyBorder="1" applyAlignment="1" applyProtection="1">
      <alignment horizontal="left"/>
      <protection locked="0"/>
    </xf>
    <xf numFmtId="2" fontId="2" fillId="3" borderId="7" xfId="0" applyNumberFormat="1" applyFont="1" applyFill="1" applyBorder="1" applyAlignment="1" applyProtection="1">
      <alignment horizontal="left"/>
      <protection locked="0"/>
    </xf>
    <xf numFmtId="0" fontId="12" fillId="2" borderId="0" xfId="1" applyFill="1" applyAlignment="1" applyProtection="1"/>
    <xf numFmtId="166" fontId="0" fillId="0" borderId="0" xfId="0" applyNumberFormat="1"/>
    <xf numFmtId="0" fontId="3" fillId="2" borderId="0" xfId="0" applyFont="1" applyFill="1" applyAlignment="1">
      <alignment horizontal="right" vertical="center"/>
    </xf>
    <xf numFmtId="0" fontId="1" fillId="3" borderId="1" xfId="0" applyFont="1" applyFill="1" applyBorder="1"/>
    <xf numFmtId="0" fontId="17" fillId="4" borderId="0" xfId="0" applyFont="1" applyFill="1" applyAlignment="1">
      <alignment vertical="center"/>
    </xf>
    <xf numFmtId="0" fontId="12" fillId="4" borderId="0" xfId="1" applyFill="1" applyAlignment="1" applyProtection="1">
      <protection locked="0"/>
    </xf>
    <xf numFmtId="0" fontId="3" fillId="4" borderId="0" xfId="0" applyFont="1" applyFill="1" applyAlignment="1">
      <alignment horizontal="center" vertical="center"/>
    </xf>
    <xf numFmtId="0" fontId="3" fillId="2" borderId="0" xfId="0" applyFont="1" applyFill="1" applyBorder="1" applyAlignment="1" applyProtection="1">
      <alignment horizontal="left"/>
    </xf>
    <xf numFmtId="0" fontId="4" fillId="2" borderId="0" xfId="0" applyFont="1" applyFill="1"/>
    <xf numFmtId="0" fontId="4" fillId="5" borderId="0" xfId="0" applyFont="1" applyFill="1"/>
    <xf numFmtId="0" fontId="3" fillId="5" borderId="0" xfId="0" applyFont="1" applyFill="1" applyAlignment="1">
      <alignment horizontal="right"/>
    </xf>
    <xf numFmtId="0" fontId="3" fillId="5" borderId="0" xfId="0" applyFont="1" applyFill="1"/>
    <xf numFmtId="0" fontId="0" fillId="5" borderId="0" xfId="0" applyFill="1"/>
    <xf numFmtId="0" fontId="3" fillId="2" borderId="0" xfId="0" applyFont="1" applyFill="1" applyAlignment="1">
      <alignment horizontal="center"/>
    </xf>
    <xf numFmtId="11" fontId="3" fillId="3" borderId="1" xfId="0" applyNumberFormat="1" applyFont="1" applyFill="1" applyBorder="1" applyProtection="1">
      <protection locked="0"/>
    </xf>
    <xf numFmtId="0" fontId="3" fillId="2" borderId="2" xfId="0" applyFont="1" applyFill="1" applyBorder="1" applyAlignment="1">
      <alignment horizontal="center"/>
    </xf>
    <xf numFmtId="0" fontId="3" fillId="3" borderId="1" xfId="0" applyFont="1" applyFill="1" applyBorder="1" applyProtection="1">
      <protection locked="0"/>
    </xf>
    <xf numFmtId="0" fontId="22" fillId="4" borderId="0" xfId="0" applyFont="1" applyFill="1"/>
    <xf numFmtId="0" fontId="22" fillId="2" borderId="0" xfId="0" applyFont="1" applyFill="1" applyAlignment="1"/>
    <xf numFmtId="0" fontId="22" fillId="5" borderId="0" xfId="0" applyFont="1" applyFill="1"/>
    <xf numFmtId="0" fontId="22" fillId="2" borderId="0" xfId="0" applyFont="1" applyFill="1"/>
    <xf numFmtId="0" fontId="3" fillId="2" borderId="2" xfId="0" applyFont="1" applyFill="1" applyBorder="1" applyAlignment="1">
      <alignment horizontal="center"/>
    </xf>
    <xf numFmtId="167" fontId="3" fillId="2" borderId="0" xfId="0" applyNumberFormat="1" applyFont="1" applyFill="1"/>
    <xf numFmtId="167" fontId="24" fillId="2" borderId="0" xfId="0" applyNumberFormat="1" applyFont="1" applyFill="1"/>
    <xf numFmtId="167" fontId="4" fillId="2" borderId="0" xfId="0" applyNumberFormat="1" applyFont="1" applyFill="1"/>
    <xf numFmtId="0" fontId="25" fillId="2" borderId="0" xfId="0" applyFont="1" applyFill="1"/>
    <xf numFmtId="0" fontId="4" fillId="2" borderId="0" xfId="0" applyFont="1" applyFill="1" applyAlignment="1">
      <alignment horizontal="right"/>
    </xf>
    <xf numFmtId="165" fontId="3" fillId="2" borderId="0" xfId="0" applyNumberFormat="1" applyFont="1" applyFill="1"/>
    <xf numFmtId="0" fontId="3" fillId="5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11" fontId="3" fillId="3" borderId="1" xfId="0" applyNumberFormat="1" applyFont="1" applyFill="1" applyBorder="1" applyAlignment="1" applyProtection="1">
      <alignment horizontal="left"/>
      <protection locked="0"/>
    </xf>
    <xf numFmtId="167" fontId="2" fillId="2" borderId="0" xfId="0" applyNumberFormat="1" applyFont="1" applyFill="1" applyAlignment="1">
      <alignment horizontal="left"/>
    </xf>
    <xf numFmtId="167" fontId="0" fillId="0" borderId="0" xfId="0" applyNumberFormat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4" borderId="0" xfId="0" applyFont="1" applyFill="1" applyBorder="1" applyProtection="1"/>
    <xf numFmtId="167" fontId="24" fillId="5" borderId="0" xfId="0" applyNumberFormat="1" applyFont="1" applyFill="1"/>
    <xf numFmtId="167" fontId="22" fillId="2" borderId="0" xfId="0" applyNumberFormat="1" applyFont="1" applyFill="1"/>
    <xf numFmtId="0" fontId="3" fillId="4" borderId="0" xfId="0" applyFont="1" applyFill="1" applyAlignment="1">
      <alignment horizontal="right" vertical="center"/>
    </xf>
    <xf numFmtId="0" fontId="2" fillId="4" borderId="0" xfId="0" quotePrefix="1" applyFont="1" applyFill="1" applyAlignment="1">
      <alignment horizontal="center" vertical="center" wrapText="1"/>
    </xf>
    <xf numFmtId="0" fontId="1" fillId="4" borderId="0" xfId="0" quotePrefix="1" applyFont="1" applyFill="1" applyAlignment="1">
      <alignment horizontal="right" vertical="center"/>
    </xf>
    <xf numFmtId="0" fontId="29" fillId="0" borderId="0" xfId="0" applyFont="1"/>
    <xf numFmtId="0" fontId="2" fillId="2" borderId="0" xfId="0" quotePrefix="1" applyFont="1" applyFill="1" applyAlignment="1">
      <alignment horizontal="right"/>
    </xf>
    <xf numFmtId="0" fontId="16" fillId="4" borderId="0" xfId="0" applyFont="1" applyFill="1" applyAlignment="1">
      <alignment horizontal="right" vertical="center"/>
    </xf>
    <xf numFmtId="0" fontId="3" fillId="4" borderId="0" xfId="0" quotePrefix="1" applyFont="1" applyFill="1" applyAlignment="1">
      <alignment horizontal="center" vertical="center" wrapText="1"/>
    </xf>
    <xf numFmtId="0" fontId="1" fillId="0" borderId="0" xfId="0" applyFont="1"/>
    <xf numFmtId="11" fontId="1" fillId="0" borderId="0" xfId="0" applyNumberFormat="1" applyFont="1"/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11" fontId="3" fillId="2" borderId="0" xfId="0" applyNumberFormat="1" applyFont="1" applyFill="1"/>
    <xf numFmtId="11" fontId="24" fillId="2" borderId="0" xfId="0" applyNumberFormat="1" applyFont="1" applyFill="1"/>
    <xf numFmtId="11" fontId="3" fillId="5" borderId="0" xfId="0" applyNumberFormat="1" applyFont="1" applyFill="1"/>
    <xf numFmtId="11" fontId="0" fillId="5" borderId="0" xfId="0" applyNumberFormat="1" applyFill="1"/>
    <xf numFmtId="11" fontId="4" fillId="2" borderId="0" xfId="0" applyNumberFormat="1" applyFont="1" applyFill="1"/>
    <xf numFmtId="11" fontId="25" fillId="2" borderId="0" xfId="0" applyNumberFormat="1" applyFont="1" applyFill="1"/>
    <xf numFmtId="11" fontId="24" fillId="5" borderId="0" xfId="0" applyNumberFormat="1" applyFont="1" applyFill="1"/>
    <xf numFmtId="168" fontId="3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0" fillId="2" borderId="7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600" b="1" i="0" baseline="0"/>
              <a:t>Posterior when using the Informed Prior</a:t>
            </a:r>
            <a:endParaRPr lang="en-US" sz="12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'Bayes-Binomial'!$E$25</c:f>
                <c:numCache>
                  <c:formatCode>General</c:formatCode>
                  <c:ptCount val="1"/>
                  <c:pt idx="0">
                    <c:v>9.4946562218475417E-2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'Bayes-Binomial'!$D$24</c:f>
              <c:numCache>
                <c:formatCode>0.00E+00</c:formatCode>
                <c:ptCount val="1"/>
                <c:pt idx="0">
                  <c:v>0.14271435285616429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07-4007-8146-A8C01AD366B7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'Bayes-Binomial'!$D$23</c:f>
              <c:numCache>
                <c:formatCode>0.00E+00</c:formatCode>
                <c:ptCount val="1"/>
                <c:pt idx="0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7-4007-8146-A8C01AD366B7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'Bayes-Binomial'!$E$21</c:f>
                <c:numCache>
                  <c:formatCode>General</c:formatCode>
                  <c:ptCount val="1"/>
                  <c:pt idx="0">
                    <c:v>3.336616596471767E-2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'Bayes-Binomial'!$D$22</c:f>
              <c:numCache>
                <c:formatCode>0.00E+00</c:formatCode>
                <c:ptCount val="1"/>
                <c:pt idx="0">
                  <c:v>5.3476841840849346E-2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07-4007-8146-A8C01AD36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123240"/>
        <c:axId val="206123632"/>
      </c:barChart>
      <c:catAx>
        <c:axId val="206123240"/>
        <c:scaling>
          <c:orientation val="minMax"/>
        </c:scaling>
        <c:delete val="1"/>
        <c:axPos val="l"/>
        <c:majorTickMark val="out"/>
        <c:minorTickMark val="none"/>
        <c:tickLblPos val="none"/>
        <c:crossAx val="206123632"/>
        <c:crosses val="autoZero"/>
        <c:auto val="1"/>
        <c:lblAlgn val="ctr"/>
        <c:lblOffset val="100"/>
        <c:noMultiLvlLbl val="0"/>
      </c:catAx>
      <c:valAx>
        <c:axId val="206123632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061232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Informed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Informed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Calc_Area!$E$1035:$E$1134</c:f>
              <c:numCache>
                <c:formatCode>0.0E+00</c:formatCode>
                <c:ptCount val="100"/>
                <c:pt idx="0">
                  <c:v>2.0705084352857264E-34</c:v>
                </c:pt>
                <c:pt idx="1">
                  <c:v>3.2545163792717631E-5</c:v>
                </c:pt>
                <c:pt idx="2">
                  <c:v>6.5090327585435261E-5</c:v>
                </c:pt>
                <c:pt idx="3">
                  <c:v>9.7635491378152898E-5</c:v>
                </c:pt>
                <c:pt idx="4">
                  <c:v>1.3018065517087052E-4</c:v>
                </c:pt>
                <c:pt idx="5">
                  <c:v>1.6272581896358815E-4</c:v>
                </c:pt>
                <c:pt idx="6">
                  <c:v>1.9527098275630577E-4</c:v>
                </c:pt>
                <c:pt idx="7">
                  <c:v>2.2781614654902339E-4</c:v>
                </c:pt>
                <c:pt idx="8">
                  <c:v>2.6036131034174104E-4</c:v>
                </c:pt>
                <c:pt idx="9">
                  <c:v>2.929064741344587E-4</c:v>
                </c:pt>
                <c:pt idx="10">
                  <c:v>3.2545163792717635E-4</c:v>
                </c:pt>
                <c:pt idx="11">
                  <c:v>3.57996801719894E-4</c:v>
                </c:pt>
                <c:pt idx="12">
                  <c:v>3.9054196551261165E-4</c:v>
                </c:pt>
                <c:pt idx="13">
                  <c:v>4.230871293053293E-4</c:v>
                </c:pt>
                <c:pt idx="14">
                  <c:v>4.5563229309804695E-4</c:v>
                </c:pt>
                <c:pt idx="15">
                  <c:v>4.881774568907646E-4</c:v>
                </c:pt>
                <c:pt idx="16">
                  <c:v>5.207226206834822E-4</c:v>
                </c:pt>
                <c:pt idx="17">
                  <c:v>5.5326778447619979E-4</c:v>
                </c:pt>
                <c:pt idx="18">
                  <c:v>5.8581294826891739E-4</c:v>
                </c:pt>
                <c:pt idx="19">
                  <c:v>6.1835811206163499E-4</c:v>
                </c:pt>
                <c:pt idx="20">
                  <c:v>6.5090327585435258E-4</c:v>
                </c:pt>
                <c:pt idx="21">
                  <c:v>6.8344843964707018E-4</c:v>
                </c:pt>
                <c:pt idx="22">
                  <c:v>7.1599360343978778E-4</c:v>
                </c:pt>
                <c:pt idx="23">
                  <c:v>7.4853876723250537E-4</c:v>
                </c:pt>
                <c:pt idx="24">
                  <c:v>7.8108393102522297E-4</c:v>
                </c:pt>
                <c:pt idx="25">
                  <c:v>8.1362909481794057E-4</c:v>
                </c:pt>
                <c:pt idx="26">
                  <c:v>8.4617425861065816E-4</c:v>
                </c:pt>
                <c:pt idx="27">
                  <c:v>8.7871942240337576E-4</c:v>
                </c:pt>
                <c:pt idx="28">
                  <c:v>9.1126458619609336E-4</c:v>
                </c:pt>
                <c:pt idx="29">
                  <c:v>9.4380974998881095E-4</c:v>
                </c:pt>
                <c:pt idx="30">
                  <c:v>9.7635491378152855E-4</c:v>
                </c:pt>
                <c:pt idx="31">
                  <c:v>1.0089000775742461E-3</c:v>
                </c:pt>
                <c:pt idx="32">
                  <c:v>1.0414452413669637E-3</c:v>
                </c:pt>
                <c:pt idx="33">
                  <c:v>1.0739904051596813E-3</c:v>
                </c:pt>
                <c:pt idx="34">
                  <c:v>1.1065355689523989E-3</c:v>
                </c:pt>
                <c:pt idx="35">
                  <c:v>1.1390807327451165E-3</c:v>
                </c:pt>
                <c:pt idx="36">
                  <c:v>1.1716258965378341E-3</c:v>
                </c:pt>
                <c:pt idx="37">
                  <c:v>1.2041710603305517E-3</c:v>
                </c:pt>
                <c:pt idx="38">
                  <c:v>1.2367162241232693E-3</c:v>
                </c:pt>
                <c:pt idx="39">
                  <c:v>1.2692613879159869E-3</c:v>
                </c:pt>
                <c:pt idx="40">
                  <c:v>1.3018065517087045E-3</c:v>
                </c:pt>
                <c:pt idx="41">
                  <c:v>1.3343517155014221E-3</c:v>
                </c:pt>
                <c:pt idx="42">
                  <c:v>1.3668968792941397E-3</c:v>
                </c:pt>
                <c:pt idx="43">
                  <c:v>1.3994420430868573E-3</c:v>
                </c:pt>
                <c:pt idx="44">
                  <c:v>1.4319872068795749E-3</c:v>
                </c:pt>
                <c:pt idx="45">
                  <c:v>1.4645323706722925E-3</c:v>
                </c:pt>
                <c:pt idx="46">
                  <c:v>1.4970775344650101E-3</c:v>
                </c:pt>
                <c:pt idx="47">
                  <c:v>1.5296226982577277E-3</c:v>
                </c:pt>
                <c:pt idx="48">
                  <c:v>1.5621678620504453E-3</c:v>
                </c:pt>
                <c:pt idx="49">
                  <c:v>1.5947130258431629E-3</c:v>
                </c:pt>
                <c:pt idx="50">
                  <c:v>1.6272581896358805E-3</c:v>
                </c:pt>
                <c:pt idx="51">
                  <c:v>1.6598033534285981E-3</c:v>
                </c:pt>
                <c:pt idx="52">
                  <c:v>1.6923485172213157E-3</c:v>
                </c:pt>
                <c:pt idx="53">
                  <c:v>1.7248936810140333E-3</c:v>
                </c:pt>
                <c:pt idx="54">
                  <c:v>1.7574388448067509E-3</c:v>
                </c:pt>
                <c:pt idx="55">
                  <c:v>1.7899840085994685E-3</c:v>
                </c:pt>
                <c:pt idx="56">
                  <c:v>1.8225291723921861E-3</c:v>
                </c:pt>
                <c:pt idx="57">
                  <c:v>1.8550743361849037E-3</c:v>
                </c:pt>
                <c:pt idx="58">
                  <c:v>1.8876194999776213E-3</c:v>
                </c:pt>
                <c:pt idx="59">
                  <c:v>1.9201646637703389E-3</c:v>
                </c:pt>
                <c:pt idx="60">
                  <c:v>1.9527098275630564E-3</c:v>
                </c:pt>
                <c:pt idx="61">
                  <c:v>1.985254991355774E-3</c:v>
                </c:pt>
                <c:pt idx="62">
                  <c:v>2.0178001551484919E-3</c:v>
                </c:pt>
                <c:pt idx="63">
                  <c:v>2.0503453189412097E-3</c:v>
                </c:pt>
                <c:pt idx="64">
                  <c:v>2.0828904827339275E-3</c:v>
                </c:pt>
                <c:pt idx="65">
                  <c:v>2.1154356465266453E-3</c:v>
                </c:pt>
                <c:pt idx="66">
                  <c:v>2.1479808103193631E-3</c:v>
                </c:pt>
                <c:pt idx="67">
                  <c:v>2.1805259741120809E-3</c:v>
                </c:pt>
                <c:pt idx="68">
                  <c:v>2.2130711379047987E-3</c:v>
                </c:pt>
                <c:pt idx="69">
                  <c:v>2.2456163016975166E-3</c:v>
                </c:pt>
                <c:pt idx="70">
                  <c:v>2.2781614654902344E-3</c:v>
                </c:pt>
                <c:pt idx="71">
                  <c:v>2.3107066292829522E-3</c:v>
                </c:pt>
                <c:pt idx="72">
                  <c:v>2.34325179307567E-3</c:v>
                </c:pt>
                <c:pt idx="73">
                  <c:v>2.3757969568683878E-3</c:v>
                </c:pt>
                <c:pt idx="74">
                  <c:v>2.4083421206611056E-3</c:v>
                </c:pt>
                <c:pt idx="75">
                  <c:v>2.4408872844538234E-3</c:v>
                </c:pt>
                <c:pt idx="76">
                  <c:v>2.4734324482465412E-3</c:v>
                </c:pt>
                <c:pt idx="77">
                  <c:v>2.5059776120392591E-3</c:v>
                </c:pt>
                <c:pt idx="78">
                  <c:v>2.5385227758319769E-3</c:v>
                </c:pt>
                <c:pt idx="79">
                  <c:v>2.5710679396246947E-3</c:v>
                </c:pt>
                <c:pt idx="80">
                  <c:v>2.6036131034174125E-3</c:v>
                </c:pt>
                <c:pt idx="81">
                  <c:v>2.6361582672101303E-3</c:v>
                </c:pt>
                <c:pt idx="82">
                  <c:v>2.6687034310028481E-3</c:v>
                </c:pt>
                <c:pt idx="83">
                  <c:v>2.7012485947955659E-3</c:v>
                </c:pt>
                <c:pt idx="84">
                  <c:v>2.7337937585882838E-3</c:v>
                </c:pt>
                <c:pt idx="85">
                  <c:v>2.7663389223810016E-3</c:v>
                </c:pt>
                <c:pt idx="86">
                  <c:v>2.7988840861737194E-3</c:v>
                </c:pt>
                <c:pt idx="87">
                  <c:v>2.8314292499664372E-3</c:v>
                </c:pt>
                <c:pt idx="88">
                  <c:v>2.863974413759155E-3</c:v>
                </c:pt>
                <c:pt idx="89">
                  <c:v>2.8965195775518728E-3</c:v>
                </c:pt>
                <c:pt idx="90">
                  <c:v>2.9290647413445906E-3</c:v>
                </c:pt>
                <c:pt idx="91">
                  <c:v>2.9616099051373085E-3</c:v>
                </c:pt>
                <c:pt idx="92">
                  <c:v>2.9941550689300263E-3</c:v>
                </c:pt>
                <c:pt idx="93">
                  <c:v>3.0267002327227441E-3</c:v>
                </c:pt>
                <c:pt idx="94">
                  <c:v>3.0592453965154619E-3</c:v>
                </c:pt>
                <c:pt idx="95">
                  <c:v>3.0917905603081797E-3</c:v>
                </c:pt>
                <c:pt idx="96">
                  <c:v>3.1243357241008975E-3</c:v>
                </c:pt>
                <c:pt idx="97">
                  <c:v>3.1568808878936153E-3</c:v>
                </c:pt>
                <c:pt idx="98">
                  <c:v>3.1894260516863331E-3</c:v>
                </c:pt>
                <c:pt idx="99">
                  <c:v>3.221971215479051E-3</c:v>
                </c:pt>
              </c:numCache>
            </c:numRef>
          </c:xVal>
          <c:yVal>
            <c:numRef>
              <c:f>Calc_Area!$F$1035:$F$1134</c:f>
              <c:numCache>
                <c:formatCode>General</c:formatCode>
                <c:ptCount val="100"/>
                <c:pt idx="0">
                  <c:v>2.9477135806736297E+30</c:v>
                </c:pt>
                <c:pt idx="1">
                  <c:v>1553.2097452413129</c:v>
                </c:pt>
                <c:pt idx="2">
                  <c:v>802.4866942092716</c:v>
                </c:pt>
                <c:pt idx="3">
                  <c:v>542.44048669124697</c:v>
                </c:pt>
                <c:pt idx="4">
                  <c:v>409.30630670142403</c:v>
                </c:pt>
                <c:pt idx="5">
                  <c:v>328.03991213030037</c:v>
                </c:pt>
                <c:pt idx="6">
                  <c:v>273.12757945298074</c:v>
                </c:pt>
                <c:pt idx="7">
                  <c:v>233.4708975617302</c:v>
                </c:pt>
                <c:pt idx="8">
                  <c:v>203.45330917315118</c:v>
                </c:pt>
                <c:pt idx="9">
                  <c:v>179.92252531276466</c:v>
                </c:pt>
                <c:pt idx="10">
                  <c:v>160.97034366243861</c:v>
                </c:pt>
                <c:pt idx="11">
                  <c:v>145.37288617640215</c:v>
                </c:pt>
                <c:pt idx="12">
                  <c:v>132.30845647631352</c:v>
                </c:pt>
                <c:pt idx="13">
                  <c:v>121.20452519074291</c:v>
                </c:pt>
                <c:pt idx="14">
                  <c:v>111.64972628800587</c:v>
                </c:pt>
                <c:pt idx="15">
                  <c:v>103.34074279606476</c:v>
                </c:pt>
                <c:pt idx="16">
                  <c:v>96.048929880464314</c:v>
                </c:pt>
                <c:pt idx="17">
                  <c:v>89.598609199184878</c:v>
                </c:pt>
                <c:pt idx="18">
                  <c:v>83.852530500940404</c:v>
                </c:pt>
                <c:pt idx="19">
                  <c:v>78.70188050937665</c:v>
                </c:pt>
                <c:pt idx="20">
                  <c:v>74.059260160996303</c:v>
                </c:pt>
                <c:pt idx="21">
                  <c:v>69.853648702624255</c:v>
                </c:pt>
                <c:pt idx="22">
                  <c:v>66.02672761604282</c:v>
                </c:pt>
                <c:pt idx="23">
                  <c:v>62.530153921158366</c:v>
                </c:pt>
                <c:pt idx="24">
                  <c:v>59.323508263431862</c:v>
                </c:pt>
                <c:pt idx="25">
                  <c:v>56.372730436692493</c:v>
                </c:pt>
                <c:pt idx="26">
                  <c:v>53.648912224070443</c:v>
                </c:pt>
                <c:pt idx="27">
                  <c:v>51.127355713329834</c:v>
                </c:pt>
                <c:pt idx="28">
                  <c:v>48.786831291818892</c:v>
                </c:pt>
                <c:pt idx="29">
                  <c:v>46.608987542513837</c:v>
                </c:pt>
                <c:pt idx="30">
                  <c:v>44.577877908732347</c:v>
                </c:pt>
                <c:pt idx="31">
                  <c:v>42.679577993524106</c:v>
                </c:pt>
                <c:pt idx="32">
                  <c:v>40.90187384388755</c:v>
                </c:pt>
                <c:pt idx="33">
                  <c:v>39.234006297329486</c:v>
                </c:pt>
                <c:pt idx="34">
                  <c:v>37.666459952575913</c:v>
                </c:pt>
                <c:pt idx="35">
                  <c:v>36.19078792054529</c:v>
                </c:pt>
                <c:pt idx="36">
                  <c:v>34.799465461773551</c:v>
                </c:pt>
                <c:pt idx="37">
                  <c:v>33.485767095415412</c:v>
                </c:pt>
                <c:pt idx="38">
                  <c:v>32.243662895986049</c:v>
                </c:pt>
                <c:pt idx="39">
                  <c:v>31.067730565818508</c:v>
                </c:pt>
                <c:pt idx="40">
                  <c:v>29.953080548212409</c:v>
                </c:pt>
                <c:pt idx="41">
                  <c:v>28.895291975664819</c:v>
                </c:pt>
                <c:pt idx="42">
                  <c:v>27.890357664329958</c:v>
                </c:pt>
                <c:pt idx="43">
                  <c:v>26.934636695989518</c:v>
                </c:pt>
                <c:pt idx="44">
                  <c:v>26.024813391896032</c:v>
                </c:pt>
                <c:pt idx="45">
                  <c:v>25.157861693685273</c:v>
                </c:pt>
                <c:pt idx="46">
                  <c:v>24.331014136429424</c:v>
                </c:pt>
                <c:pt idx="47">
                  <c:v>23.541734736479022</c:v>
                </c:pt>
                <c:pt idx="48">
                  <c:v>22.787695228706561</c:v>
                </c:pt>
                <c:pt idx="49">
                  <c:v>22.066754179311253</c:v>
                </c:pt>
                <c:pt idx="50">
                  <c:v>21.376938575531373</c:v>
                </c:pt>
                <c:pt idx="51">
                  <c:v>20.716427555624421</c:v>
                </c:pt>
                <c:pt idx="52">
                  <c:v>20.083537993833929</c:v>
                </c:pt>
                <c:pt idx="53">
                  <c:v>19.476711697762411</c:v>
                </c:pt>
                <c:pt idx="54">
                  <c:v>18.894504011205491</c:v>
                </c:pt>
                <c:pt idx="55">
                  <c:v>18.335573645349211</c:v>
                </c:pt>
                <c:pt idx="56">
                  <c:v>17.798673586318337</c:v>
                </c:pt>
                <c:pt idx="57">
                  <c:v>17.282642948216591</c:v>
                </c:pt>
                <c:pt idx="58">
                  <c:v>16.786399658695768</c:v>
                </c:pt>
                <c:pt idx="59">
                  <c:v>16.308933879276321</c:v>
                </c:pt>
                <c:pt idx="60">
                  <c:v>15.849302075567131</c:v>
                </c:pt>
                <c:pt idx="61">
                  <c:v>15.406621663564346</c:v>
                </c:pt>
                <c:pt idx="62">
                  <c:v>14.980066167652014</c:v>
                </c:pt>
                <c:pt idx="63">
                  <c:v>14.568860834031184</c:v>
                </c:pt>
                <c:pt idx="64">
                  <c:v>14.172278650277043</c:v>
                </c:pt>
                <c:pt idx="65">
                  <c:v>13.789636727738454</c:v>
                </c:pt>
                <c:pt idx="66">
                  <c:v>13.420293008694959</c:v>
                </c:pt>
                <c:pt idx="67">
                  <c:v>13.063643264693852</c:v>
                </c:pt>
                <c:pt idx="68">
                  <c:v>12.719118356405316</c:v>
                </c:pt>
                <c:pt idx="69">
                  <c:v>12.386181728742274</c:v>
                </c:pt>
                <c:pt idx="70">
                  <c:v>12.064327117965396</c:v>
                </c:pt>
                <c:pt idx="71">
                  <c:v>11.753076450093332</c:v>
                </c:pt>
                <c:pt idx="72">
                  <c:v>11.451977912215556</c:v>
                </c:pt>
                <c:pt idx="73">
                  <c:v>11.160604180303791</c:v>
                </c:pt>
                <c:pt idx="74">
                  <c:v>10.878550788875545</c:v>
                </c:pt>
                <c:pt idx="75">
                  <c:v>10.605434629411411</c:v>
                </c:pt>
                <c:pt idx="76">
                  <c:v>10.340892565794137</c:v>
                </c:pt>
                <c:pt idx="77">
                  <c:v>10.084580156245339</c:v>
                </c:pt>
                <c:pt idx="78">
                  <c:v>9.8361704723052572</c:v>
                </c:pt>
                <c:pt idx="79">
                  <c:v>9.5953530063496988</c:v>
                </c:pt>
                <c:pt idx="80">
                  <c:v>9.3618326599811148</c:v>
                </c:pt>
                <c:pt idx="81">
                  <c:v>9.1353288063805866</c:v>
                </c:pt>
                <c:pt idx="82">
                  <c:v>8.9155744203758633</c:v>
                </c:pt>
                <c:pt idx="83">
                  <c:v>8.7023152705768414</c:v>
                </c:pt>
                <c:pt idx="84">
                  <c:v>8.495309168462942</c:v>
                </c:pt>
                <c:pt idx="85">
                  <c:v>8.2943252697837799</c:v>
                </c:pt>
                <c:pt idx="86">
                  <c:v>8.0991434240620226</c:v>
                </c:pt>
                <c:pt idx="87">
                  <c:v>7.9095535683709386</c:v>
                </c:pt>
                <c:pt idx="88">
                  <c:v>7.7253551619038845</c:v>
                </c:pt>
                <c:pt idx="89">
                  <c:v>7.5463566581629671</c:v>
                </c:pt>
                <c:pt idx="90">
                  <c:v>7.3723750118736406</c:v>
                </c:pt>
                <c:pt idx="91">
                  <c:v>7.2032352179838304</c:v>
                </c:pt>
                <c:pt idx="92">
                  <c:v>7.0387698803337662</c:v>
                </c:pt>
                <c:pt idx="93">
                  <c:v>6.8788188077882895</c:v>
                </c:pt>
                <c:pt idx="94">
                  <c:v>6.72322863580965</c:v>
                </c:pt>
                <c:pt idx="95">
                  <c:v>6.571852471617361</c:v>
                </c:pt>
                <c:pt idx="96">
                  <c:v>6.4245495612347137</c:v>
                </c:pt>
                <c:pt idx="97">
                  <c:v>6.2811849768604056</c:v>
                </c:pt>
                <c:pt idx="98">
                  <c:v>6.141629323130017</c:v>
                </c:pt>
                <c:pt idx="99">
                  <c:v>6.0057584609469101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18-46B5-8E44-6025BAD186DB}"/>
            </c:ext>
          </c:extLst>
        </c:ser>
        <c:ser>
          <c:idx val="1"/>
          <c:order val="1"/>
          <c:tx>
            <c:v>Informed Update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Calc_Area!$E$1035:$E$1134</c:f>
              <c:numCache>
                <c:formatCode>0.0E+00</c:formatCode>
                <c:ptCount val="100"/>
                <c:pt idx="0">
                  <c:v>2.0705084352857264E-34</c:v>
                </c:pt>
                <c:pt idx="1">
                  <c:v>3.2545163792717631E-5</c:v>
                </c:pt>
                <c:pt idx="2">
                  <c:v>6.5090327585435261E-5</c:v>
                </c:pt>
                <c:pt idx="3">
                  <c:v>9.7635491378152898E-5</c:v>
                </c:pt>
                <c:pt idx="4">
                  <c:v>1.3018065517087052E-4</c:v>
                </c:pt>
                <c:pt idx="5">
                  <c:v>1.6272581896358815E-4</c:v>
                </c:pt>
                <c:pt idx="6">
                  <c:v>1.9527098275630577E-4</c:v>
                </c:pt>
                <c:pt idx="7">
                  <c:v>2.2781614654902339E-4</c:v>
                </c:pt>
                <c:pt idx="8">
                  <c:v>2.6036131034174104E-4</c:v>
                </c:pt>
                <c:pt idx="9">
                  <c:v>2.929064741344587E-4</c:v>
                </c:pt>
                <c:pt idx="10">
                  <c:v>3.2545163792717635E-4</c:v>
                </c:pt>
                <c:pt idx="11">
                  <c:v>3.57996801719894E-4</c:v>
                </c:pt>
                <c:pt idx="12">
                  <c:v>3.9054196551261165E-4</c:v>
                </c:pt>
                <c:pt idx="13">
                  <c:v>4.230871293053293E-4</c:v>
                </c:pt>
                <c:pt idx="14">
                  <c:v>4.5563229309804695E-4</c:v>
                </c:pt>
                <c:pt idx="15">
                  <c:v>4.881774568907646E-4</c:v>
                </c:pt>
                <c:pt idx="16">
                  <c:v>5.207226206834822E-4</c:v>
                </c:pt>
                <c:pt idx="17">
                  <c:v>5.5326778447619979E-4</c:v>
                </c:pt>
                <c:pt idx="18">
                  <c:v>5.8581294826891739E-4</c:v>
                </c:pt>
                <c:pt idx="19">
                  <c:v>6.1835811206163499E-4</c:v>
                </c:pt>
                <c:pt idx="20">
                  <c:v>6.5090327585435258E-4</c:v>
                </c:pt>
                <c:pt idx="21">
                  <c:v>6.8344843964707018E-4</c:v>
                </c:pt>
                <c:pt idx="22">
                  <c:v>7.1599360343978778E-4</c:v>
                </c:pt>
                <c:pt idx="23">
                  <c:v>7.4853876723250537E-4</c:v>
                </c:pt>
                <c:pt idx="24">
                  <c:v>7.8108393102522297E-4</c:v>
                </c:pt>
                <c:pt idx="25">
                  <c:v>8.1362909481794057E-4</c:v>
                </c:pt>
                <c:pt idx="26">
                  <c:v>8.4617425861065816E-4</c:v>
                </c:pt>
                <c:pt idx="27">
                  <c:v>8.7871942240337576E-4</c:v>
                </c:pt>
                <c:pt idx="28">
                  <c:v>9.1126458619609336E-4</c:v>
                </c:pt>
                <c:pt idx="29">
                  <c:v>9.4380974998881095E-4</c:v>
                </c:pt>
                <c:pt idx="30">
                  <c:v>9.7635491378152855E-4</c:v>
                </c:pt>
                <c:pt idx="31">
                  <c:v>1.0089000775742461E-3</c:v>
                </c:pt>
                <c:pt idx="32">
                  <c:v>1.0414452413669637E-3</c:v>
                </c:pt>
                <c:pt idx="33">
                  <c:v>1.0739904051596813E-3</c:v>
                </c:pt>
                <c:pt idx="34">
                  <c:v>1.1065355689523989E-3</c:v>
                </c:pt>
                <c:pt idx="35">
                  <c:v>1.1390807327451165E-3</c:v>
                </c:pt>
                <c:pt idx="36">
                  <c:v>1.1716258965378341E-3</c:v>
                </c:pt>
                <c:pt idx="37">
                  <c:v>1.2041710603305517E-3</c:v>
                </c:pt>
                <c:pt idx="38">
                  <c:v>1.2367162241232693E-3</c:v>
                </c:pt>
                <c:pt idx="39">
                  <c:v>1.2692613879159869E-3</c:v>
                </c:pt>
                <c:pt idx="40">
                  <c:v>1.3018065517087045E-3</c:v>
                </c:pt>
                <c:pt idx="41">
                  <c:v>1.3343517155014221E-3</c:v>
                </c:pt>
                <c:pt idx="42">
                  <c:v>1.3668968792941397E-3</c:v>
                </c:pt>
                <c:pt idx="43">
                  <c:v>1.3994420430868573E-3</c:v>
                </c:pt>
                <c:pt idx="44">
                  <c:v>1.4319872068795749E-3</c:v>
                </c:pt>
                <c:pt idx="45">
                  <c:v>1.4645323706722925E-3</c:v>
                </c:pt>
                <c:pt idx="46">
                  <c:v>1.4970775344650101E-3</c:v>
                </c:pt>
                <c:pt idx="47">
                  <c:v>1.5296226982577277E-3</c:v>
                </c:pt>
                <c:pt idx="48">
                  <c:v>1.5621678620504453E-3</c:v>
                </c:pt>
                <c:pt idx="49">
                  <c:v>1.5947130258431629E-3</c:v>
                </c:pt>
                <c:pt idx="50">
                  <c:v>1.6272581896358805E-3</c:v>
                </c:pt>
                <c:pt idx="51">
                  <c:v>1.6598033534285981E-3</c:v>
                </c:pt>
                <c:pt idx="52">
                  <c:v>1.6923485172213157E-3</c:v>
                </c:pt>
                <c:pt idx="53">
                  <c:v>1.7248936810140333E-3</c:v>
                </c:pt>
                <c:pt idx="54">
                  <c:v>1.7574388448067509E-3</c:v>
                </c:pt>
                <c:pt idx="55">
                  <c:v>1.7899840085994685E-3</c:v>
                </c:pt>
                <c:pt idx="56">
                  <c:v>1.8225291723921861E-3</c:v>
                </c:pt>
                <c:pt idx="57">
                  <c:v>1.8550743361849037E-3</c:v>
                </c:pt>
                <c:pt idx="58">
                  <c:v>1.8876194999776213E-3</c:v>
                </c:pt>
                <c:pt idx="59">
                  <c:v>1.9201646637703389E-3</c:v>
                </c:pt>
                <c:pt idx="60">
                  <c:v>1.9527098275630564E-3</c:v>
                </c:pt>
                <c:pt idx="61">
                  <c:v>1.985254991355774E-3</c:v>
                </c:pt>
                <c:pt idx="62">
                  <c:v>2.0178001551484919E-3</c:v>
                </c:pt>
                <c:pt idx="63">
                  <c:v>2.0503453189412097E-3</c:v>
                </c:pt>
                <c:pt idx="64">
                  <c:v>2.0828904827339275E-3</c:v>
                </c:pt>
                <c:pt idx="65">
                  <c:v>2.1154356465266453E-3</c:v>
                </c:pt>
                <c:pt idx="66">
                  <c:v>2.1479808103193631E-3</c:v>
                </c:pt>
                <c:pt idx="67">
                  <c:v>2.1805259741120809E-3</c:v>
                </c:pt>
                <c:pt idx="68">
                  <c:v>2.2130711379047987E-3</c:v>
                </c:pt>
                <c:pt idx="69">
                  <c:v>2.2456163016975166E-3</c:v>
                </c:pt>
                <c:pt idx="70">
                  <c:v>2.2781614654902344E-3</c:v>
                </c:pt>
                <c:pt idx="71">
                  <c:v>2.3107066292829522E-3</c:v>
                </c:pt>
                <c:pt idx="72">
                  <c:v>2.34325179307567E-3</c:v>
                </c:pt>
                <c:pt idx="73">
                  <c:v>2.3757969568683878E-3</c:v>
                </c:pt>
                <c:pt idx="74">
                  <c:v>2.4083421206611056E-3</c:v>
                </c:pt>
                <c:pt idx="75">
                  <c:v>2.4408872844538234E-3</c:v>
                </c:pt>
                <c:pt idx="76">
                  <c:v>2.4734324482465412E-3</c:v>
                </c:pt>
                <c:pt idx="77">
                  <c:v>2.5059776120392591E-3</c:v>
                </c:pt>
                <c:pt idx="78">
                  <c:v>2.5385227758319769E-3</c:v>
                </c:pt>
                <c:pt idx="79">
                  <c:v>2.5710679396246947E-3</c:v>
                </c:pt>
                <c:pt idx="80">
                  <c:v>2.6036131034174125E-3</c:v>
                </c:pt>
                <c:pt idx="81">
                  <c:v>2.6361582672101303E-3</c:v>
                </c:pt>
                <c:pt idx="82">
                  <c:v>2.6687034310028481E-3</c:v>
                </c:pt>
                <c:pt idx="83">
                  <c:v>2.7012485947955659E-3</c:v>
                </c:pt>
                <c:pt idx="84">
                  <c:v>2.7337937585882838E-3</c:v>
                </c:pt>
                <c:pt idx="85">
                  <c:v>2.7663389223810016E-3</c:v>
                </c:pt>
                <c:pt idx="86">
                  <c:v>2.7988840861737194E-3</c:v>
                </c:pt>
                <c:pt idx="87">
                  <c:v>2.8314292499664372E-3</c:v>
                </c:pt>
                <c:pt idx="88">
                  <c:v>2.863974413759155E-3</c:v>
                </c:pt>
                <c:pt idx="89">
                  <c:v>2.8965195775518728E-3</c:v>
                </c:pt>
                <c:pt idx="90">
                  <c:v>2.9290647413445906E-3</c:v>
                </c:pt>
                <c:pt idx="91">
                  <c:v>2.9616099051373085E-3</c:v>
                </c:pt>
                <c:pt idx="92">
                  <c:v>2.9941550689300263E-3</c:v>
                </c:pt>
                <c:pt idx="93">
                  <c:v>3.0267002327227441E-3</c:v>
                </c:pt>
                <c:pt idx="94">
                  <c:v>3.0592453965154619E-3</c:v>
                </c:pt>
                <c:pt idx="95">
                  <c:v>3.0917905603081797E-3</c:v>
                </c:pt>
                <c:pt idx="96">
                  <c:v>3.1243357241008975E-3</c:v>
                </c:pt>
                <c:pt idx="97">
                  <c:v>3.1568808878936153E-3</c:v>
                </c:pt>
                <c:pt idx="98">
                  <c:v>3.1894260516863331E-3</c:v>
                </c:pt>
                <c:pt idx="99">
                  <c:v>3.221971215479051E-3</c:v>
                </c:pt>
              </c:numCache>
            </c:numRef>
          </c:xVal>
          <c:yVal>
            <c:numRef>
              <c:f>Calc_Area!$G$1035:$G$1134</c:f>
              <c:numCache>
                <c:formatCode>General</c:formatCode>
                <c:ptCount val="100"/>
                <c:pt idx="0">
                  <c:v>3.1823101455226541E+30</c:v>
                </c:pt>
                <c:pt idx="1">
                  <c:v>1630.0111937358733</c:v>
                </c:pt>
                <c:pt idx="2">
                  <c:v>818.65624535724771</c:v>
                </c:pt>
                <c:pt idx="3">
                  <c:v>537.92173812381736</c:v>
                </c:pt>
                <c:pt idx="4">
                  <c:v>394.56512275307483</c:v>
                </c:pt>
                <c:pt idx="5">
                  <c:v>307.39740929450409</c:v>
                </c:pt>
                <c:pt idx="6">
                  <c:v>248.79539117851243</c:v>
                </c:pt>
                <c:pt idx="7">
                  <c:v>206.73441860308944</c:v>
                </c:pt>
                <c:pt idx="8">
                  <c:v>175.12496084434216</c:v>
                </c:pt>
                <c:pt idx="9">
                  <c:v>150.54699465212565</c:v>
                </c:pt>
                <c:pt idx="10">
                  <c:v>130.92894921100702</c:v>
                </c:pt>
                <c:pt idx="11">
                  <c:v>114.94140010769733</c:v>
                </c:pt>
                <c:pt idx="12">
                  <c:v>101.69133109887595</c:v>
                </c:pt>
                <c:pt idx="13">
                  <c:v>90.556248539834073</c:v>
                </c:pt>
                <c:pt idx="14">
                  <c:v>81.088732109047186</c:v>
                </c:pt>
                <c:pt idx="15">
                  <c:v>72.958800468668443</c:v>
                </c:pt>
                <c:pt idx="16">
                  <c:v>65.91767726689551</c:v>
                </c:pt>
                <c:pt idx="17">
                  <c:v>59.774216543403973</c:v>
                </c:pt>
                <c:pt idx="18">
                  <c:v>54.3791051290101</c:v>
                </c:pt>
                <c:pt idx="19">
                  <c:v>49.614001081295072</c:v>
                </c:pt>
                <c:pt idx="20">
                  <c:v>45.383895487849848</c:v>
                </c:pt>
                <c:pt idx="21">
                  <c:v>41.611632665772632</c:v>
                </c:pt>
                <c:pt idx="22">
                  <c:v>38.233908173256154</c:v>
                </c:pt>
                <c:pt idx="23">
                  <c:v>35.198298983482182</c:v>
                </c:pt>
                <c:pt idx="24">
                  <c:v>32.461027577514145</c:v>
                </c:pt>
                <c:pt idx="25">
                  <c:v>29.985256403845039</c:v>
                </c:pt>
                <c:pt idx="26">
                  <c:v>27.739771285819184</c:v>
                </c:pt>
                <c:pt idx="27">
                  <c:v>25.69795392183546</c:v>
                </c:pt>
                <c:pt idx="28">
                  <c:v>23.836971919668791</c:v>
                </c:pt>
                <c:pt idx="29">
                  <c:v>22.137134382681005</c:v>
                </c:pt>
                <c:pt idx="30">
                  <c:v>20.581374810986127</c:v>
                </c:pt>
                <c:pt idx="31">
                  <c:v>19.154832864125346</c:v>
                </c:pt>
                <c:pt idx="32">
                  <c:v>17.844513583773466</c:v>
                </c:pt>
                <c:pt idx="33">
                  <c:v>16.639007817910031</c:v>
                </c:pt>
                <c:pt idx="34">
                  <c:v>15.528261379616719</c:v>
                </c:pt>
                <c:pt idx="35">
                  <c:v>14.503383297747297</c:v>
                </c:pt>
                <c:pt idx="36">
                  <c:v>13.5564856401779</c:v>
                </c:pt>
                <c:pt idx="37">
                  <c:v>12.680549001281689</c:v>
                </c:pt>
                <c:pt idx="38">
                  <c:v>11.869308977651473</c:v>
                </c:pt>
                <c:pt idx="39">
                  <c:v>11.117159906323206</c:v>
                </c:pt>
                <c:pt idx="40">
                  <c:v>10.419072877886178</c:v>
                </c:pt>
                <c:pt idx="41">
                  <c:v>9.7705256142748436</c:v>
                </c:pt>
                <c:pt idx="42">
                  <c:v>9.1674422557222712</c:v>
                </c:pt>
                <c:pt idx="43">
                  <c:v>8.6061414616555005</c:v>
                </c:pt>
                <c:pt idx="44">
                  <c:v>8.0832915175265416</c:v>
                </c:pt>
                <c:pt idx="45">
                  <c:v>7.5958713698243949</c:v>
                </c:pt>
                <c:pt idx="46">
                  <c:v>7.1411366970962495</c:v>
                </c:pt>
                <c:pt idx="47">
                  <c:v>6.7165902751544273</c:v>
                </c:pt>
                <c:pt idx="48">
                  <c:v>6.3199560170460751</c:v>
                </c:pt>
                <c:pt idx="49">
                  <c:v>5.9491561684759979</c:v>
                </c:pt>
                <c:pt idx="50">
                  <c:v>5.602291221623668</c:v>
                </c:pt>
                <c:pt idx="51">
                  <c:v>5.2776221781588166</c:v>
                </c:pt>
                <c:pt idx="52">
                  <c:v>4.973554848482272</c:v>
                </c:pt>
                <c:pt idx="53">
                  <c:v>4.6886259209789909</c:v>
                </c:pt>
                <c:pt idx="54">
                  <c:v>4.4214905741072412</c:v>
                </c:pt>
                <c:pt idx="55">
                  <c:v>4.170911436855091</c:v>
                </c:pt>
                <c:pt idx="56">
                  <c:v>3.9357487305937511</c:v>
                </c:pt>
                <c:pt idx="57">
                  <c:v>3.7149514485538817</c:v>
                </c:pt>
                <c:pt idx="58">
                  <c:v>3.5075494487811012</c:v>
                </c:pt>
                <c:pt idx="59">
                  <c:v>3.3126463530905399</c:v>
                </c:pt>
                <c:pt idx="60">
                  <c:v>3.1294131587274867</c:v>
                </c:pt>
                <c:pt idx="61">
                  <c:v>2.9570824815548971</c:v>
                </c:pt>
                <c:pt idx="62">
                  <c:v>2.7949433599601372</c:v>
                </c:pt>
                <c:pt idx="63">
                  <c:v>2.6423365575774325</c:v>
                </c:pt>
                <c:pt idx="64">
                  <c:v>2.4986503105860365</c:v>
                </c:pt>
                <c:pt idx="65">
                  <c:v>2.3633164719568014</c:v>
                </c:pt>
                <c:pt idx="66">
                  <c:v>2.2358070107391246</c:v>
                </c:pt>
                <c:pt idx="67">
                  <c:v>2.1156308294386825</c:v>
                </c:pt>
                <c:pt idx="68">
                  <c:v>2.0023308668446083</c:v>
                </c:pt>
                <c:pt idx="69">
                  <c:v>1.8954814574164904</c:v>
                </c:pt>
                <c:pt idx="70">
                  <c:v>1.794685921615371</c:v>
                </c:pt>
                <c:pt idx="71">
                  <c:v>1.6995743644256722</c:v>
                </c:pt>
                <c:pt idx="72">
                  <c:v>1.6098016618232318</c:v>
                </c:pt>
                <c:pt idx="73">
                  <c:v>1.5250456171464739</c:v>
                </c:pt>
                <c:pt idx="74">
                  <c:v>1.445005271264314</c:v>
                </c:pt>
                <c:pt idx="75">
                  <c:v>1.3693993521406573</c:v>
                </c:pt>
                <c:pt idx="76">
                  <c:v>1.2979648509014179</c:v>
                </c:pt>
                <c:pt idx="77">
                  <c:v>1.2304557128415763</c:v>
                </c:pt>
                <c:pt idx="78">
                  <c:v>1.1666416329891027</c:v>
                </c:pt>
                <c:pt idx="79">
                  <c:v>1.1063069468886964</c:v>
                </c:pt>
                <c:pt idx="80">
                  <c:v>1.0492496081977447</c:v>
                </c:pt>
                <c:pt idx="81">
                  <c:v>0.99528024551394323</c:v>
                </c:pt>
                <c:pt idx="82">
                  <c:v>0.94422129159103785</c:v>
                </c:pt>
                <c:pt idx="83">
                  <c:v>0.89590617875688894</c:v>
                </c:pt>
                <c:pt idx="84">
                  <c:v>0.85017859493588688</c:v>
                </c:pt>
                <c:pt idx="85">
                  <c:v>0.80689179520380161</c:v>
                </c:pt>
                <c:pt idx="86">
                  <c:v>0.76590796427455921</c:v>
                </c:pt>
                <c:pt idx="87">
                  <c:v>0.72709762574143399</c:v>
                </c:pt>
                <c:pt idx="88">
                  <c:v>0.69033909427516682</c:v>
                </c:pt>
                <c:pt idx="89">
                  <c:v>0.65551796732336987</c:v>
                </c:pt>
                <c:pt idx="90">
                  <c:v>0.62252665316345834</c:v>
                </c:pt>
                <c:pt idx="91">
                  <c:v>0.59126393243894859</c:v>
                </c:pt>
                <c:pt idx="92">
                  <c:v>0.56163455055956735</c:v>
                </c:pt>
                <c:pt idx="93">
                  <c:v>0.53354883857208391</c:v>
                </c:pt>
                <c:pt idx="94">
                  <c:v>0.50692236031367233</c:v>
                </c:pt>
                <c:pt idx="95">
                  <c:v>0.48167558384517467</c:v>
                </c:pt>
                <c:pt idx="96">
                  <c:v>0.45773357532986164</c:v>
                </c:pt>
                <c:pt idx="97">
                  <c:v>0.43502571367598197</c:v>
                </c:pt>
                <c:pt idx="98">
                  <c:v>0.41348542440007119</c:v>
                </c:pt>
                <c:pt idx="99">
                  <c:v>0.39304993129411919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8-46B5-8E44-6025BAD18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103432"/>
        <c:axId val="643101472"/>
      </c:scatterChart>
      <c:valAx>
        <c:axId val="64310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643101472"/>
        <c:crosses val="autoZero"/>
        <c:crossBetween val="midCat"/>
      </c:valAx>
      <c:valAx>
        <c:axId val="64310147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643103432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Jeffreys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Jeffreys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Calc_Area!$H$1035:$H$1134</c:f>
              <c:numCache>
                <c:formatCode>0.0E+00</c:formatCode>
                <c:ptCount val="100"/>
                <c:pt idx="0" formatCode="0.00E+00">
                  <c:v>2.259850574723864E-6</c:v>
                </c:pt>
                <c:pt idx="1">
                  <c:v>4.0753781034617007E-5</c:v>
                </c:pt>
                <c:pt idx="2">
                  <c:v>7.9247711494510154E-5</c:v>
                </c:pt>
                <c:pt idx="3">
                  <c:v>1.177416419544033E-4</c:v>
                </c:pt>
                <c:pt idx="4">
                  <c:v>1.5623557241429645E-4</c:v>
                </c:pt>
                <c:pt idx="5">
                  <c:v>1.9472950287418959E-4</c:v>
                </c:pt>
                <c:pt idx="6">
                  <c:v>2.3322343333408274E-4</c:v>
                </c:pt>
                <c:pt idx="7">
                  <c:v>2.7171736379397589E-4</c:v>
                </c:pt>
                <c:pt idx="8">
                  <c:v>3.1021129425386901E-4</c:v>
                </c:pt>
                <c:pt idx="9">
                  <c:v>3.4870522471376213E-4</c:v>
                </c:pt>
                <c:pt idx="10">
                  <c:v>3.8719915517365525E-4</c:v>
                </c:pt>
                <c:pt idx="11">
                  <c:v>4.2569308563354837E-4</c:v>
                </c:pt>
                <c:pt idx="12">
                  <c:v>4.6418701609344149E-4</c:v>
                </c:pt>
                <c:pt idx="13">
                  <c:v>5.0268094655333466E-4</c:v>
                </c:pt>
                <c:pt idx="14">
                  <c:v>5.4117487701322783E-4</c:v>
                </c:pt>
                <c:pt idx="15">
                  <c:v>5.7966880747312101E-4</c:v>
                </c:pt>
                <c:pt idx="16">
                  <c:v>6.1816273793301418E-4</c:v>
                </c:pt>
                <c:pt idx="17">
                  <c:v>6.5665666839290736E-4</c:v>
                </c:pt>
                <c:pt idx="18">
                  <c:v>6.9515059885280053E-4</c:v>
                </c:pt>
                <c:pt idx="19">
                  <c:v>7.336445293126937E-4</c:v>
                </c:pt>
                <c:pt idx="20">
                  <c:v>7.7213845977258688E-4</c:v>
                </c:pt>
                <c:pt idx="21">
                  <c:v>8.1063239023248005E-4</c:v>
                </c:pt>
                <c:pt idx="22">
                  <c:v>8.4912632069237323E-4</c:v>
                </c:pt>
                <c:pt idx="23">
                  <c:v>8.876202511522664E-4</c:v>
                </c:pt>
                <c:pt idx="24">
                  <c:v>9.2611418161215957E-4</c:v>
                </c:pt>
                <c:pt idx="25">
                  <c:v>9.6460811207205275E-4</c:v>
                </c:pt>
                <c:pt idx="26">
                  <c:v>1.0031020425319459E-3</c:v>
                </c:pt>
                <c:pt idx="27">
                  <c:v>1.041595972991839E-3</c:v>
                </c:pt>
                <c:pt idx="28">
                  <c:v>1.0800899034517321E-3</c:v>
                </c:pt>
                <c:pt idx="29">
                  <c:v>1.1185838339116251E-3</c:v>
                </c:pt>
                <c:pt idx="30">
                  <c:v>1.1570777643715182E-3</c:v>
                </c:pt>
                <c:pt idx="31">
                  <c:v>1.1955716948314112E-3</c:v>
                </c:pt>
                <c:pt idx="32">
                  <c:v>1.2340656252913043E-3</c:v>
                </c:pt>
                <c:pt idx="33">
                  <c:v>1.2725595557511974E-3</c:v>
                </c:pt>
                <c:pt idx="34">
                  <c:v>1.3110534862110904E-3</c:v>
                </c:pt>
                <c:pt idx="35">
                  <c:v>1.3495474166709835E-3</c:v>
                </c:pt>
                <c:pt idx="36">
                  <c:v>1.3880413471308766E-3</c:v>
                </c:pt>
                <c:pt idx="37">
                  <c:v>1.4265352775907696E-3</c:v>
                </c:pt>
                <c:pt idx="38">
                  <c:v>1.4650292080506627E-3</c:v>
                </c:pt>
                <c:pt idx="39">
                  <c:v>1.5035231385105558E-3</c:v>
                </c:pt>
                <c:pt idx="40">
                  <c:v>1.5420170689704488E-3</c:v>
                </c:pt>
                <c:pt idx="41">
                  <c:v>1.5805109994303419E-3</c:v>
                </c:pt>
                <c:pt idx="42">
                  <c:v>1.619004929890235E-3</c:v>
                </c:pt>
                <c:pt idx="43">
                  <c:v>1.657498860350128E-3</c:v>
                </c:pt>
                <c:pt idx="44">
                  <c:v>1.6959927908100211E-3</c:v>
                </c:pt>
                <c:pt idx="45">
                  <c:v>1.7344867212699142E-3</c:v>
                </c:pt>
                <c:pt idx="46">
                  <c:v>1.7729806517298072E-3</c:v>
                </c:pt>
                <c:pt idx="47">
                  <c:v>1.8114745821897003E-3</c:v>
                </c:pt>
                <c:pt idx="48">
                  <c:v>1.8499685126495934E-3</c:v>
                </c:pt>
                <c:pt idx="49">
                  <c:v>1.8884624431094864E-3</c:v>
                </c:pt>
                <c:pt idx="50">
                  <c:v>1.9269563735693795E-3</c:v>
                </c:pt>
                <c:pt idx="51">
                  <c:v>1.9654503040292728E-3</c:v>
                </c:pt>
                <c:pt idx="52">
                  <c:v>2.0039442344891661E-3</c:v>
                </c:pt>
                <c:pt idx="53">
                  <c:v>2.0424381649490593E-3</c:v>
                </c:pt>
                <c:pt idx="54">
                  <c:v>2.0809320954089526E-3</c:v>
                </c:pt>
                <c:pt idx="55">
                  <c:v>2.1194260258688459E-3</c:v>
                </c:pt>
                <c:pt idx="56">
                  <c:v>2.1579199563287392E-3</c:v>
                </c:pt>
                <c:pt idx="57">
                  <c:v>2.1964138867886325E-3</c:v>
                </c:pt>
                <c:pt idx="58">
                  <c:v>2.2349078172485257E-3</c:v>
                </c:pt>
                <c:pt idx="59">
                  <c:v>2.273401747708419E-3</c:v>
                </c:pt>
                <c:pt idx="60">
                  <c:v>2.3118956781683123E-3</c:v>
                </c:pt>
                <c:pt idx="61">
                  <c:v>2.3503896086282056E-3</c:v>
                </c:pt>
                <c:pt idx="62">
                  <c:v>2.3888835390880989E-3</c:v>
                </c:pt>
                <c:pt idx="63">
                  <c:v>2.4273774695479922E-3</c:v>
                </c:pt>
                <c:pt idx="64">
                  <c:v>2.4658714000078854E-3</c:v>
                </c:pt>
                <c:pt idx="65">
                  <c:v>2.5043653304677787E-3</c:v>
                </c:pt>
                <c:pt idx="66">
                  <c:v>2.542859260927672E-3</c:v>
                </c:pt>
                <c:pt idx="67">
                  <c:v>2.5813531913875653E-3</c:v>
                </c:pt>
                <c:pt idx="68">
                  <c:v>2.6198471218474586E-3</c:v>
                </c:pt>
                <c:pt idx="69">
                  <c:v>2.6583410523073519E-3</c:v>
                </c:pt>
                <c:pt idx="70">
                  <c:v>2.6968349827672451E-3</c:v>
                </c:pt>
                <c:pt idx="71">
                  <c:v>2.7353289132271384E-3</c:v>
                </c:pt>
                <c:pt idx="72">
                  <c:v>2.7738228436870317E-3</c:v>
                </c:pt>
                <c:pt idx="73">
                  <c:v>2.812316774146925E-3</c:v>
                </c:pt>
                <c:pt idx="74">
                  <c:v>2.8508107046068183E-3</c:v>
                </c:pt>
                <c:pt idx="75">
                  <c:v>2.8893046350667115E-3</c:v>
                </c:pt>
                <c:pt idx="76">
                  <c:v>2.9277985655266048E-3</c:v>
                </c:pt>
                <c:pt idx="77">
                  <c:v>2.9662924959864981E-3</c:v>
                </c:pt>
                <c:pt idx="78">
                  <c:v>3.0047864264463914E-3</c:v>
                </c:pt>
                <c:pt idx="79">
                  <c:v>3.0432803569062847E-3</c:v>
                </c:pt>
                <c:pt idx="80">
                  <c:v>3.081774287366178E-3</c:v>
                </c:pt>
                <c:pt idx="81">
                  <c:v>3.1202682178260712E-3</c:v>
                </c:pt>
                <c:pt idx="82">
                  <c:v>3.1587621482859645E-3</c:v>
                </c:pt>
                <c:pt idx="83">
                  <c:v>3.1972560787458578E-3</c:v>
                </c:pt>
                <c:pt idx="84">
                  <c:v>3.2357500092057511E-3</c:v>
                </c:pt>
                <c:pt idx="85">
                  <c:v>3.2742439396656444E-3</c:v>
                </c:pt>
                <c:pt idx="86">
                  <c:v>3.3127378701255377E-3</c:v>
                </c:pt>
                <c:pt idx="87">
                  <c:v>3.3512318005854309E-3</c:v>
                </c:pt>
                <c:pt idx="88">
                  <c:v>3.3897257310453242E-3</c:v>
                </c:pt>
                <c:pt idx="89">
                  <c:v>3.4282196615052175E-3</c:v>
                </c:pt>
                <c:pt idx="90">
                  <c:v>3.4667135919651108E-3</c:v>
                </c:pt>
                <c:pt idx="91">
                  <c:v>3.5052075224250041E-3</c:v>
                </c:pt>
                <c:pt idx="92">
                  <c:v>3.5437014528848973E-3</c:v>
                </c:pt>
                <c:pt idx="93">
                  <c:v>3.5821953833447906E-3</c:v>
                </c:pt>
                <c:pt idx="94">
                  <c:v>3.6206893138046839E-3</c:v>
                </c:pt>
                <c:pt idx="95">
                  <c:v>3.6591832442645772E-3</c:v>
                </c:pt>
                <c:pt idx="96">
                  <c:v>3.6976771747244705E-3</c:v>
                </c:pt>
                <c:pt idx="97">
                  <c:v>3.7361711051843638E-3</c:v>
                </c:pt>
                <c:pt idx="98">
                  <c:v>3.774665035644257E-3</c:v>
                </c:pt>
                <c:pt idx="99">
                  <c:v>3.8131589661041503E-3</c:v>
                </c:pt>
              </c:numCache>
            </c:numRef>
          </c:xVal>
          <c:yVal>
            <c:numRef>
              <c:f>Calc_Area!$I$1035:$I$1134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E1-435A-A36B-055B91F91876}"/>
            </c:ext>
          </c:extLst>
        </c:ser>
        <c:ser>
          <c:idx val="1"/>
          <c:order val="1"/>
          <c:tx>
            <c:v>Jeffreys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Calc_Area!$H$1035:$H$1134</c:f>
              <c:numCache>
                <c:formatCode>0.0E+00</c:formatCode>
                <c:ptCount val="100"/>
                <c:pt idx="0" formatCode="0.00E+00">
                  <c:v>2.259850574723864E-6</c:v>
                </c:pt>
                <c:pt idx="1">
                  <c:v>4.0753781034617007E-5</c:v>
                </c:pt>
                <c:pt idx="2">
                  <c:v>7.9247711494510154E-5</c:v>
                </c:pt>
                <c:pt idx="3">
                  <c:v>1.177416419544033E-4</c:v>
                </c:pt>
                <c:pt idx="4">
                  <c:v>1.5623557241429645E-4</c:v>
                </c:pt>
                <c:pt idx="5">
                  <c:v>1.9472950287418959E-4</c:v>
                </c:pt>
                <c:pt idx="6">
                  <c:v>2.3322343333408274E-4</c:v>
                </c:pt>
                <c:pt idx="7">
                  <c:v>2.7171736379397589E-4</c:v>
                </c:pt>
                <c:pt idx="8">
                  <c:v>3.1021129425386901E-4</c:v>
                </c:pt>
                <c:pt idx="9">
                  <c:v>3.4870522471376213E-4</c:v>
                </c:pt>
                <c:pt idx="10">
                  <c:v>3.8719915517365525E-4</c:v>
                </c:pt>
                <c:pt idx="11">
                  <c:v>4.2569308563354837E-4</c:v>
                </c:pt>
                <c:pt idx="12">
                  <c:v>4.6418701609344149E-4</c:v>
                </c:pt>
                <c:pt idx="13">
                  <c:v>5.0268094655333466E-4</c:v>
                </c:pt>
                <c:pt idx="14">
                  <c:v>5.4117487701322783E-4</c:v>
                </c:pt>
                <c:pt idx="15">
                  <c:v>5.7966880747312101E-4</c:v>
                </c:pt>
                <c:pt idx="16">
                  <c:v>6.1816273793301418E-4</c:v>
                </c:pt>
                <c:pt idx="17">
                  <c:v>6.5665666839290736E-4</c:v>
                </c:pt>
                <c:pt idx="18">
                  <c:v>6.9515059885280053E-4</c:v>
                </c:pt>
                <c:pt idx="19">
                  <c:v>7.336445293126937E-4</c:v>
                </c:pt>
                <c:pt idx="20">
                  <c:v>7.7213845977258688E-4</c:v>
                </c:pt>
                <c:pt idx="21">
                  <c:v>8.1063239023248005E-4</c:v>
                </c:pt>
                <c:pt idx="22">
                  <c:v>8.4912632069237323E-4</c:v>
                </c:pt>
                <c:pt idx="23">
                  <c:v>8.876202511522664E-4</c:v>
                </c:pt>
                <c:pt idx="24">
                  <c:v>9.2611418161215957E-4</c:v>
                </c:pt>
                <c:pt idx="25">
                  <c:v>9.6460811207205275E-4</c:v>
                </c:pt>
                <c:pt idx="26">
                  <c:v>1.0031020425319459E-3</c:v>
                </c:pt>
                <c:pt idx="27">
                  <c:v>1.041595972991839E-3</c:v>
                </c:pt>
                <c:pt idx="28">
                  <c:v>1.0800899034517321E-3</c:v>
                </c:pt>
                <c:pt idx="29">
                  <c:v>1.1185838339116251E-3</c:v>
                </c:pt>
                <c:pt idx="30">
                  <c:v>1.1570777643715182E-3</c:v>
                </c:pt>
                <c:pt idx="31">
                  <c:v>1.1955716948314112E-3</c:v>
                </c:pt>
                <c:pt idx="32">
                  <c:v>1.2340656252913043E-3</c:v>
                </c:pt>
                <c:pt idx="33">
                  <c:v>1.2725595557511974E-3</c:v>
                </c:pt>
                <c:pt idx="34">
                  <c:v>1.3110534862110904E-3</c:v>
                </c:pt>
                <c:pt idx="35">
                  <c:v>1.3495474166709835E-3</c:v>
                </c:pt>
                <c:pt idx="36">
                  <c:v>1.3880413471308766E-3</c:v>
                </c:pt>
                <c:pt idx="37">
                  <c:v>1.4265352775907696E-3</c:v>
                </c:pt>
                <c:pt idx="38">
                  <c:v>1.4650292080506627E-3</c:v>
                </c:pt>
                <c:pt idx="39">
                  <c:v>1.5035231385105558E-3</c:v>
                </c:pt>
                <c:pt idx="40">
                  <c:v>1.5420170689704488E-3</c:v>
                </c:pt>
                <c:pt idx="41">
                  <c:v>1.5805109994303419E-3</c:v>
                </c:pt>
                <c:pt idx="42">
                  <c:v>1.619004929890235E-3</c:v>
                </c:pt>
                <c:pt idx="43">
                  <c:v>1.657498860350128E-3</c:v>
                </c:pt>
                <c:pt idx="44">
                  <c:v>1.6959927908100211E-3</c:v>
                </c:pt>
                <c:pt idx="45">
                  <c:v>1.7344867212699142E-3</c:v>
                </c:pt>
                <c:pt idx="46">
                  <c:v>1.7729806517298072E-3</c:v>
                </c:pt>
                <c:pt idx="47">
                  <c:v>1.8114745821897003E-3</c:v>
                </c:pt>
                <c:pt idx="48">
                  <c:v>1.8499685126495934E-3</c:v>
                </c:pt>
                <c:pt idx="49">
                  <c:v>1.8884624431094864E-3</c:v>
                </c:pt>
                <c:pt idx="50">
                  <c:v>1.9269563735693795E-3</c:v>
                </c:pt>
                <c:pt idx="51">
                  <c:v>1.9654503040292728E-3</c:v>
                </c:pt>
                <c:pt idx="52">
                  <c:v>2.0039442344891661E-3</c:v>
                </c:pt>
                <c:pt idx="53">
                  <c:v>2.0424381649490593E-3</c:v>
                </c:pt>
                <c:pt idx="54">
                  <c:v>2.0809320954089526E-3</c:v>
                </c:pt>
                <c:pt idx="55">
                  <c:v>2.1194260258688459E-3</c:v>
                </c:pt>
                <c:pt idx="56">
                  <c:v>2.1579199563287392E-3</c:v>
                </c:pt>
                <c:pt idx="57">
                  <c:v>2.1964138867886325E-3</c:v>
                </c:pt>
                <c:pt idx="58">
                  <c:v>2.2349078172485257E-3</c:v>
                </c:pt>
                <c:pt idx="59">
                  <c:v>2.273401747708419E-3</c:v>
                </c:pt>
                <c:pt idx="60">
                  <c:v>2.3118956781683123E-3</c:v>
                </c:pt>
                <c:pt idx="61">
                  <c:v>2.3503896086282056E-3</c:v>
                </c:pt>
                <c:pt idx="62">
                  <c:v>2.3888835390880989E-3</c:v>
                </c:pt>
                <c:pt idx="63">
                  <c:v>2.4273774695479922E-3</c:v>
                </c:pt>
                <c:pt idx="64">
                  <c:v>2.4658714000078854E-3</c:v>
                </c:pt>
                <c:pt idx="65">
                  <c:v>2.5043653304677787E-3</c:v>
                </c:pt>
                <c:pt idx="66">
                  <c:v>2.542859260927672E-3</c:v>
                </c:pt>
                <c:pt idx="67">
                  <c:v>2.5813531913875653E-3</c:v>
                </c:pt>
                <c:pt idx="68">
                  <c:v>2.6198471218474586E-3</c:v>
                </c:pt>
                <c:pt idx="69">
                  <c:v>2.6583410523073519E-3</c:v>
                </c:pt>
                <c:pt idx="70">
                  <c:v>2.6968349827672451E-3</c:v>
                </c:pt>
                <c:pt idx="71">
                  <c:v>2.7353289132271384E-3</c:v>
                </c:pt>
                <c:pt idx="72">
                  <c:v>2.7738228436870317E-3</c:v>
                </c:pt>
                <c:pt idx="73">
                  <c:v>2.812316774146925E-3</c:v>
                </c:pt>
                <c:pt idx="74">
                  <c:v>2.8508107046068183E-3</c:v>
                </c:pt>
                <c:pt idx="75">
                  <c:v>2.8893046350667115E-3</c:v>
                </c:pt>
                <c:pt idx="76">
                  <c:v>2.9277985655266048E-3</c:v>
                </c:pt>
                <c:pt idx="77">
                  <c:v>2.9662924959864981E-3</c:v>
                </c:pt>
                <c:pt idx="78">
                  <c:v>3.0047864264463914E-3</c:v>
                </c:pt>
                <c:pt idx="79">
                  <c:v>3.0432803569062847E-3</c:v>
                </c:pt>
                <c:pt idx="80">
                  <c:v>3.081774287366178E-3</c:v>
                </c:pt>
                <c:pt idx="81">
                  <c:v>3.1202682178260712E-3</c:v>
                </c:pt>
                <c:pt idx="82">
                  <c:v>3.1587621482859645E-3</c:v>
                </c:pt>
                <c:pt idx="83">
                  <c:v>3.1972560787458578E-3</c:v>
                </c:pt>
                <c:pt idx="84">
                  <c:v>3.2357500092057511E-3</c:v>
                </c:pt>
                <c:pt idx="85">
                  <c:v>3.2742439396656444E-3</c:v>
                </c:pt>
                <c:pt idx="86">
                  <c:v>3.3127378701255377E-3</c:v>
                </c:pt>
                <c:pt idx="87">
                  <c:v>3.3512318005854309E-3</c:v>
                </c:pt>
                <c:pt idx="88">
                  <c:v>3.3897257310453242E-3</c:v>
                </c:pt>
                <c:pt idx="89">
                  <c:v>3.4282196615052175E-3</c:v>
                </c:pt>
                <c:pt idx="90">
                  <c:v>3.4667135919651108E-3</c:v>
                </c:pt>
                <c:pt idx="91">
                  <c:v>3.5052075224250041E-3</c:v>
                </c:pt>
                <c:pt idx="92">
                  <c:v>3.5437014528848973E-3</c:v>
                </c:pt>
                <c:pt idx="93">
                  <c:v>3.5821953833447906E-3</c:v>
                </c:pt>
                <c:pt idx="94">
                  <c:v>3.6206893138046839E-3</c:v>
                </c:pt>
                <c:pt idx="95">
                  <c:v>3.6591832442645772E-3</c:v>
                </c:pt>
                <c:pt idx="96">
                  <c:v>3.6976771747244705E-3</c:v>
                </c:pt>
                <c:pt idx="97">
                  <c:v>3.7361711051843638E-3</c:v>
                </c:pt>
                <c:pt idx="98">
                  <c:v>3.774665035644257E-3</c:v>
                </c:pt>
                <c:pt idx="99">
                  <c:v>3.8131589661041503E-3</c:v>
                </c:pt>
              </c:numCache>
            </c:numRef>
          </c:xVal>
          <c:yVal>
            <c:numRef>
              <c:f>Calc_Area!$J$1035:$J$1134</c:f>
              <c:numCache>
                <c:formatCode>General</c:formatCode>
                <c:ptCount val="100"/>
                <c:pt idx="0">
                  <c:v>11048.185938662813</c:v>
                </c:pt>
                <c:pt idx="1">
                  <c:v>2515.9527595425793</c:v>
                </c:pt>
                <c:pt idx="2">
                  <c:v>1744.8121270029289</c:v>
                </c:pt>
                <c:pt idx="3">
                  <c:v>1384.3075626434074</c:v>
                </c:pt>
                <c:pt idx="4">
                  <c:v>1162.1529090028218</c:v>
                </c:pt>
                <c:pt idx="5">
                  <c:v>1006.6835156637406</c:v>
                </c:pt>
                <c:pt idx="6">
                  <c:v>889.56634144043949</c:v>
                </c:pt>
                <c:pt idx="7">
                  <c:v>797.00553551366397</c:v>
                </c:pt>
                <c:pt idx="8">
                  <c:v>721.35131982343398</c:v>
                </c:pt>
                <c:pt idx="9">
                  <c:v>657.9638087368478</c:v>
                </c:pt>
                <c:pt idx="10">
                  <c:v>603.83687691352532</c:v>
                </c:pt>
                <c:pt idx="11">
                  <c:v>556.92169257217063</c:v>
                </c:pt>
                <c:pt idx="12">
                  <c:v>515.76460854456138</c:v>
                </c:pt>
                <c:pt idx="13">
                  <c:v>479.29998961611972</c:v>
                </c:pt>
                <c:pt idx="14">
                  <c:v>446.72516482009632</c:v>
                </c:pt>
                <c:pt idx="15">
                  <c:v>417.42154896200196</c:v>
                </c:pt>
                <c:pt idx="16">
                  <c:v>390.90301412055834</c:v>
                </c:pt>
                <c:pt idx="17">
                  <c:v>366.78101727895552</c:v>
                </c:pt>
                <c:pt idx="18">
                  <c:v>344.74039838508065</c:v>
                </c:pt>
                <c:pt idx="19">
                  <c:v>324.52218222393213</c:v>
                </c:pt>
                <c:pt idx="20">
                  <c:v>305.91110061882983</c:v>
                </c:pt>
                <c:pt idx="21">
                  <c:v>288.72637101654931</c:v>
                </c:pt>
                <c:pt idx="22">
                  <c:v>272.81476855774628</c:v>
                </c:pt>
                <c:pt idx="23">
                  <c:v>258.04534367710176</c:v>
                </c:pt>
                <c:pt idx="24">
                  <c:v>244.3053402010402</c:v>
                </c:pt>
                <c:pt idx="25">
                  <c:v>231.49700259535288</c:v>
                </c:pt>
                <c:pt idx="26">
                  <c:v>219.53505087034489</c:v>
                </c:pt>
                <c:pt idx="27">
                  <c:v>208.34466315697694</c:v>
                </c:pt>
                <c:pt idx="28">
                  <c:v>197.85984877337117</c:v>
                </c:pt>
                <c:pt idx="29">
                  <c:v>188.02212484915103</c:v>
                </c:pt>
                <c:pt idx="30">
                  <c:v>178.77943125050061</c:v>
                </c:pt>
                <c:pt idx="31">
                  <c:v>170.08523428291792</c:v>
                </c:pt>
                <c:pt idx="32">
                  <c:v>161.89778120719245</c:v>
                </c:pt>
                <c:pt idx="33">
                  <c:v>154.17947618996249</c:v>
                </c:pt>
                <c:pt idx="34">
                  <c:v>146.8963547540329</c:v>
                </c:pt>
                <c:pt idx="35">
                  <c:v>140.01763867667688</c:v>
                </c:pt>
                <c:pt idx="36">
                  <c:v>133.51535701795257</c:v>
                </c:pt>
                <c:pt idx="37">
                  <c:v>127.36402184034175</c:v>
                </c:pt>
                <c:pt idx="38">
                  <c:v>121.5403494190424</c:v>
                </c:pt>
                <c:pt idx="39">
                  <c:v>116.02301949488073</c:v>
                </c:pt>
                <c:pt idx="40">
                  <c:v>110.79246650403979</c:v>
                </c:pt>
                <c:pt idx="41">
                  <c:v>105.83069781619484</c:v>
                </c:pt>
                <c:pt idx="42">
                  <c:v>101.12113488940743</c:v>
                </c:pt>
                <c:pt idx="43">
                  <c:v>96.648473954813483</c:v>
                </c:pt>
                <c:pt idx="44">
                  <c:v>92.398563413741527</c:v>
                </c:pt>
                <c:pt idx="45">
                  <c:v>88.358295592794519</c:v>
                </c:pt>
                <c:pt idx="46">
                  <c:v>84.515510880547538</c:v>
                </c:pt>
                <c:pt idx="47">
                  <c:v>80.85891257989249</c:v>
                </c:pt>
                <c:pt idx="48">
                  <c:v>77.37799106602661</c:v>
                </c:pt>
                <c:pt idx="49">
                  <c:v>74.062956052114103</c:v>
                </c:pt>
                <c:pt idx="50">
                  <c:v>70.90467594104156</c:v>
                </c:pt>
                <c:pt idx="51">
                  <c:v>67.894623389024432</c:v>
                </c:pt>
                <c:pt idx="52">
                  <c:v>65.024826330374822</c:v>
                </c:pt>
                <c:pt idx="53">
                  <c:v>62.287823816735212</c:v>
                </c:pt>
                <c:pt idx="54">
                  <c:v>59.676626111930126</c:v>
                </c:pt>
                <c:pt idx="55">
                  <c:v>57.184678558052887</c:v>
                </c:pt>
                <c:pt idx="56">
                  <c:v>54.805828791734484</c:v>
                </c:pt>
                <c:pt idx="57">
                  <c:v>52.534296943574304</c:v>
                </c:pt>
                <c:pt idx="58">
                  <c:v>50.364648499954825</c:v>
                </c:pt>
                <c:pt idx="59">
                  <c:v>48.291769546154399</c:v>
                </c:pt>
                <c:pt idx="60">
                  <c:v>46.310844143840157</c:v>
                </c:pt>
                <c:pt idx="61">
                  <c:v>44.417333625516314</c:v>
                </c:pt>
                <c:pt idx="62">
                  <c:v>42.606957614028559</c:v>
                </c:pt>
                <c:pt idx="63">
                  <c:v>40.875676597375467</c:v>
                </c:pt>
                <c:pt idx="64">
                  <c:v>39.219675908344406</c:v>
                </c:pt>
                <c:pt idx="65">
                  <c:v>37.635350975290571</c:v>
                </c:pt>
                <c:pt idx="66">
                  <c:v>36.119293725061191</c:v>
                </c:pt>
                <c:pt idx="67">
                  <c:v>34.668280031929868</c:v>
                </c:pt>
                <c:pt idx="68">
                  <c:v>33.279258117698419</c:v>
                </c:pt>
                <c:pt idx="69">
                  <c:v>31.949337818057231</c:v>
                </c:pt>
                <c:pt idx="70">
                  <c:v>30.675780639053887</c:v>
                </c:pt>
                <c:pt idx="71">
                  <c:v>29.455990535254934</c:v>
                </c:pt>
                <c:pt idx="72">
                  <c:v>28.287505348032948</c:v>
                </c:pt>
                <c:pt idx="73">
                  <c:v>27.167988848481595</c:v>
                </c:pt>
                <c:pt idx="74">
                  <c:v>26.095223334854662</c:v>
                </c:pt>
                <c:pt idx="75">
                  <c:v>25.067102739223767</c:v>
                </c:pt>
                <c:pt idx="76">
                  <c:v>24.081626202328344</c:v>
                </c:pt>
                <c:pt idx="77">
                  <c:v>23.13689207941086</c:v>
                </c:pt>
                <c:pt idx="78">
                  <c:v>22.231092343247756</c:v>
                </c:pt>
                <c:pt idx="79">
                  <c:v>21.362507353646613</c:v>
                </c:pt>
                <c:pt idx="80">
                  <c:v>20.529500965426969</c:v>
                </c:pt>
                <c:pt idx="81">
                  <c:v>19.730515949369206</c:v>
                </c:pt>
                <c:pt idx="82">
                  <c:v>18.964069702836852</c:v>
                </c:pt>
                <c:pt idx="83">
                  <c:v>18.228750228778583</c:v>
                </c:pt>
                <c:pt idx="84">
                  <c:v>17.523212363622264</c:v>
                </c:pt>
                <c:pt idx="85">
                  <c:v>16.846174236204977</c:v>
                </c:pt>
                <c:pt idx="86">
                  <c:v>16.196413941359978</c:v>
                </c:pt>
                <c:pt idx="87">
                  <c:v>15.57276641311916</c:v>
                </c:pt>
                <c:pt idx="88">
                  <c:v>14.974120483703503</c:v>
                </c:pt>
                <c:pt idx="89">
                  <c:v>14.399416115576253</c:v>
                </c:pt>
                <c:pt idx="90">
                  <c:v>13.847641794836312</c:v>
                </c:pt>
                <c:pt idx="91">
                  <c:v>13.317832075141895</c:v>
                </c:pt>
                <c:pt idx="92">
                  <c:v>12.809065262186779</c:v>
                </c:pt>
                <c:pt idx="93">
                  <c:v>12.320461229510464</c:v>
                </c:pt>
                <c:pt idx="94">
                  <c:v>11.851179357117319</c:v>
                </c:pt>
                <c:pt idx="95">
                  <c:v>11.400416585014192</c:v>
                </c:pt>
                <c:pt idx="96">
                  <c:v>10.967405574356333</c:v>
                </c:pt>
                <c:pt idx="97">
                  <c:v>10.55141296942409</c:v>
                </c:pt>
                <c:pt idx="98">
                  <c:v>10.151737754140584</c:v>
                </c:pt>
                <c:pt idx="99">
                  <c:v>9.7677096972891633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E1-435A-A36B-055B91F91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784624"/>
        <c:axId val="643788936"/>
      </c:scatterChart>
      <c:valAx>
        <c:axId val="64378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643788936"/>
        <c:crosses val="autoZero"/>
        <c:crossBetween val="midCat"/>
      </c:valAx>
      <c:valAx>
        <c:axId val="643788936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643784624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CNI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CNI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Calc_Area!$K$1035:$K$1134</c:f>
              <c:numCache>
                <c:formatCode>0.0E+00</c:formatCode>
                <c:ptCount val="100"/>
                <c:pt idx="0" formatCode="0.00E+00">
                  <c:v>9.0232994819607012E-6</c:v>
                </c:pt>
                <c:pt idx="1">
                  <c:v>5.070596653304801E-3</c:v>
                </c:pt>
                <c:pt idx="2">
                  <c:v>1.0132170007127642E-2</c:v>
                </c:pt>
                <c:pt idx="3">
                  <c:v>1.5193743360950482E-2</c:v>
                </c:pt>
                <c:pt idx="4">
                  <c:v>2.0255316714773323E-2</c:v>
                </c:pt>
                <c:pt idx="5">
                  <c:v>2.5316890068596165E-2</c:v>
                </c:pt>
                <c:pt idx="6">
                  <c:v>3.0378463422419004E-2</c:v>
                </c:pt>
                <c:pt idx="7">
                  <c:v>3.5440036776241843E-2</c:v>
                </c:pt>
                <c:pt idx="8">
                  <c:v>4.0501610130064682E-2</c:v>
                </c:pt>
                <c:pt idx="9">
                  <c:v>4.556318348388752E-2</c:v>
                </c:pt>
                <c:pt idx="10">
                  <c:v>5.0624756837710359E-2</c:v>
                </c:pt>
                <c:pt idx="11">
                  <c:v>5.5686330191533198E-2</c:v>
                </c:pt>
                <c:pt idx="12">
                  <c:v>6.0747903545356037E-2</c:v>
                </c:pt>
                <c:pt idx="13">
                  <c:v>6.5809476899178876E-2</c:v>
                </c:pt>
                <c:pt idx="14">
                  <c:v>7.0871050253001722E-2</c:v>
                </c:pt>
                <c:pt idx="15">
                  <c:v>7.5932623606824567E-2</c:v>
                </c:pt>
                <c:pt idx="16">
                  <c:v>8.0994196960647413E-2</c:v>
                </c:pt>
                <c:pt idx="17">
                  <c:v>8.6055770314470259E-2</c:v>
                </c:pt>
                <c:pt idx="18">
                  <c:v>9.1117343668293105E-2</c:v>
                </c:pt>
                <c:pt idx="19">
                  <c:v>9.6178917022115951E-2</c:v>
                </c:pt>
                <c:pt idx="20">
                  <c:v>0.1012404903759388</c:v>
                </c:pt>
                <c:pt idx="21">
                  <c:v>0.10630206372976164</c:v>
                </c:pt>
                <c:pt idx="22">
                  <c:v>0.11136363708358449</c:v>
                </c:pt>
                <c:pt idx="23">
                  <c:v>0.11642521043740733</c:v>
                </c:pt>
                <c:pt idx="24">
                  <c:v>0.12148678379123018</c:v>
                </c:pt>
                <c:pt idx="25">
                  <c:v>0.12654835714505303</c:v>
                </c:pt>
                <c:pt idx="26">
                  <c:v>0.13160993049887587</c:v>
                </c:pt>
                <c:pt idx="27">
                  <c:v>0.13667150385269872</c:v>
                </c:pt>
                <c:pt idx="28">
                  <c:v>0.14173307720652156</c:v>
                </c:pt>
                <c:pt idx="29">
                  <c:v>0.14679465056034441</c:v>
                </c:pt>
                <c:pt idx="30">
                  <c:v>0.15185622391416725</c:v>
                </c:pt>
                <c:pt idx="31">
                  <c:v>0.1569177972679901</c:v>
                </c:pt>
                <c:pt idx="32">
                  <c:v>0.16197937062181295</c:v>
                </c:pt>
                <c:pt idx="33">
                  <c:v>0.16704094397563579</c:v>
                </c:pt>
                <c:pt idx="34">
                  <c:v>0.17210251732945864</c:v>
                </c:pt>
                <c:pt idx="35">
                  <c:v>0.17716409068328148</c:v>
                </c:pt>
                <c:pt idx="36">
                  <c:v>0.18222566403710433</c:v>
                </c:pt>
                <c:pt idx="37">
                  <c:v>0.18728723739092717</c:v>
                </c:pt>
                <c:pt idx="38">
                  <c:v>0.19234881074475002</c:v>
                </c:pt>
                <c:pt idx="39">
                  <c:v>0.19741038409857287</c:v>
                </c:pt>
                <c:pt idx="40">
                  <c:v>0.20247195745239571</c:v>
                </c:pt>
                <c:pt idx="41">
                  <c:v>0.20753353080621856</c:v>
                </c:pt>
                <c:pt idx="42">
                  <c:v>0.2125951041600414</c:v>
                </c:pt>
                <c:pt idx="43">
                  <c:v>0.21765667751386425</c:v>
                </c:pt>
                <c:pt idx="44">
                  <c:v>0.2227182508676871</c:v>
                </c:pt>
                <c:pt idx="45">
                  <c:v>0.22777982422150994</c:v>
                </c:pt>
                <c:pt idx="46">
                  <c:v>0.23284139757533279</c:v>
                </c:pt>
                <c:pt idx="47">
                  <c:v>0.23790297092915563</c:v>
                </c:pt>
                <c:pt idx="48">
                  <c:v>0.24296454428297848</c:v>
                </c:pt>
                <c:pt idx="49">
                  <c:v>0.24802611763680132</c:v>
                </c:pt>
                <c:pt idx="50">
                  <c:v>0.25308769099062417</c:v>
                </c:pt>
                <c:pt idx="51">
                  <c:v>0.25814926434444702</c:v>
                </c:pt>
                <c:pt idx="52">
                  <c:v>0.26321083769826986</c:v>
                </c:pt>
                <c:pt idx="53">
                  <c:v>0.26827241105209271</c:v>
                </c:pt>
                <c:pt idx="54">
                  <c:v>0.27333398440591555</c:v>
                </c:pt>
                <c:pt idx="55">
                  <c:v>0.2783955577597384</c:v>
                </c:pt>
                <c:pt idx="56">
                  <c:v>0.28345713111356124</c:v>
                </c:pt>
                <c:pt idx="57">
                  <c:v>0.28851870446738409</c:v>
                </c:pt>
                <c:pt idx="58">
                  <c:v>0.29358027782120694</c:v>
                </c:pt>
                <c:pt idx="59">
                  <c:v>0.29864185117502978</c:v>
                </c:pt>
                <c:pt idx="60">
                  <c:v>0.30370342452885263</c:v>
                </c:pt>
                <c:pt idx="61">
                  <c:v>0.30876499788267547</c:v>
                </c:pt>
                <c:pt idx="62">
                  <c:v>0.31382657123649832</c:v>
                </c:pt>
                <c:pt idx="63">
                  <c:v>0.31888814459032117</c:v>
                </c:pt>
                <c:pt idx="64">
                  <c:v>0.32394971794414401</c:v>
                </c:pt>
                <c:pt idx="65">
                  <c:v>0.32901129129796686</c:v>
                </c:pt>
                <c:pt idx="66">
                  <c:v>0.3340728646517897</c:v>
                </c:pt>
                <c:pt idx="67">
                  <c:v>0.33913443800561255</c:v>
                </c:pt>
                <c:pt idx="68">
                  <c:v>0.34419601135943539</c:v>
                </c:pt>
                <c:pt idx="69">
                  <c:v>0.34925758471325824</c:v>
                </c:pt>
                <c:pt idx="70">
                  <c:v>0.35431915806708109</c:v>
                </c:pt>
                <c:pt idx="71">
                  <c:v>0.35938073142090393</c:v>
                </c:pt>
                <c:pt idx="72">
                  <c:v>0.36444230477472678</c:v>
                </c:pt>
                <c:pt idx="73">
                  <c:v>0.36950387812854962</c:v>
                </c:pt>
                <c:pt idx="74">
                  <c:v>0.37456545148237247</c:v>
                </c:pt>
                <c:pt idx="75">
                  <c:v>0.37962702483619531</c:v>
                </c:pt>
                <c:pt idx="76">
                  <c:v>0.38468859819001816</c:v>
                </c:pt>
                <c:pt idx="77">
                  <c:v>0.38975017154384101</c:v>
                </c:pt>
                <c:pt idx="78">
                  <c:v>0.39481174489766385</c:v>
                </c:pt>
                <c:pt idx="79">
                  <c:v>0.3998733182514867</c:v>
                </c:pt>
                <c:pt idx="80">
                  <c:v>0.40493489160530954</c:v>
                </c:pt>
                <c:pt idx="81">
                  <c:v>0.40999646495913239</c:v>
                </c:pt>
                <c:pt idx="82">
                  <c:v>0.41505803831295524</c:v>
                </c:pt>
                <c:pt idx="83">
                  <c:v>0.42011961166677808</c:v>
                </c:pt>
                <c:pt idx="84">
                  <c:v>0.42518118502060093</c:v>
                </c:pt>
                <c:pt idx="85">
                  <c:v>0.43024275837442377</c:v>
                </c:pt>
                <c:pt idx="86">
                  <c:v>0.43530433172824662</c:v>
                </c:pt>
                <c:pt idx="87">
                  <c:v>0.44036590508206946</c:v>
                </c:pt>
                <c:pt idx="88">
                  <c:v>0.44542747843589231</c:v>
                </c:pt>
                <c:pt idx="89">
                  <c:v>0.45048905178971516</c:v>
                </c:pt>
                <c:pt idx="90">
                  <c:v>0.455550625143538</c:v>
                </c:pt>
                <c:pt idx="91">
                  <c:v>0.46061219849736085</c:v>
                </c:pt>
                <c:pt idx="92">
                  <c:v>0.46567377185118369</c:v>
                </c:pt>
                <c:pt idx="93">
                  <c:v>0.47073534520500654</c:v>
                </c:pt>
                <c:pt idx="94">
                  <c:v>0.47579691855882938</c:v>
                </c:pt>
                <c:pt idx="95">
                  <c:v>0.48085849191265223</c:v>
                </c:pt>
                <c:pt idx="96">
                  <c:v>0.48592006526647508</c:v>
                </c:pt>
                <c:pt idx="97">
                  <c:v>0.49098163862029792</c:v>
                </c:pt>
                <c:pt idx="98">
                  <c:v>0.49604321197412077</c:v>
                </c:pt>
                <c:pt idx="99">
                  <c:v>0.50110478532794356</c:v>
                </c:pt>
              </c:numCache>
            </c:numRef>
          </c:xVal>
          <c:yVal>
            <c:numRef>
              <c:f>Calc_Area!$L$1035:$L$1134</c:f>
              <c:numCache>
                <c:formatCode>General</c:formatCode>
                <c:ptCount val="100"/>
                <c:pt idx="0">
                  <c:v>419.95986369088098</c:v>
                </c:pt>
                <c:pt idx="1">
                  <c:v>17.273083496458103</c:v>
                </c:pt>
                <c:pt idx="2">
                  <c:v>11.913986512507439</c:v>
                </c:pt>
                <c:pt idx="3">
                  <c:v>9.4860383943003139</c:v>
                </c:pt>
                <c:pt idx="4">
                  <c:v>8.0104457823260073</c:v>
                </c:pt>
                <c:pt idx="5">
                  <c:v>6.9860221717624862</c:v>
                </c:pt>
                <c:pt idx="6">
                  <c:v>6.2181496403694405</c:v>
                </c:pt>
                <c:pt idx="7">
                  <c:v>5.6131406142692679</c:v>
                </c:pt>
                <c:pt idx="8">
                  <c:v>5.1194793136284735</c:v>
                </c:pt>
                <c:pt idx="9">
                  <c:v>4.7061291331014132</c:v>
                </c:pt>
                <c:pt idx="10">
                  <c:v>4.3530968332137059</c:v>
                </c:pt>
                <c:pt idx="11">
                  <c:v>4.0468251197866945</c:v>
                </c:pt>
                <c:pt idx="12">
                  <c:v>3.7777396289686567</c:v>
                </c:pt>
                <c:pt idx="13">
                  <c:v>3.5388518606746375</c:v>
                </c:pt>
                <c:pt idx="14">
                  <c:v>3.3249192411843715</c:v>
                </c:pt>
                <c:pt idx="15">
                  <c:v>3.1319171560089027</c:v>
                </c:pt>
                <c:pt idx="16">
                  <c:v>2.9566944757387206</c:v>
                </c:pt>
                <c:pt idx="17">
                  <c:v>2.7967415633788937</c:v>
                </c:pt>
                <c:pt idx="18">
                  <c:v>2.6500297095679497</c:v>
                </c:pt>
                <c:pt idx="19">
                  <c:v>2.5148973301927375</c:v>
                </c:pt>
                <c:pt idx="20">
                  <c:v>2.3899676044362232</c:v>
                </c:pt>
                <c:pt idx="21">
                  <c:v>2.274087753363681</c:v>
                </c:pt>
                <c:pt idx="22">
                  <c:v>2.1662835273002345</c:v>
                </c:pt>
                <c:pt idx="23">
                  <c:v>2.0657245827906925</c:v>
                </c:pt>
                <c:pt idx="24">
                  <c:v>1.9716977883365312</c:v>
                </c:pt>
                <c:pt idx="25">
                  <c:v>1.8835863913211077</c:v>
                </c:pt>
                <c:pt idx="26">
                  <c:v>1.8008535778340697</c:v>
                </c:pt>
                <c:pt idx="27">
                  <c:v>1.7230293666317136</c:v>
                </c:pt>
                <c:pt idx="28">
                  <c:v>1.6497000630248524</c:v>
                </c:pt>
                <c:pt idx="29">
                  <c:v>1.5804996992502407</c:v>
                </c:pt>
                <c:pt idx="30">
                  <c:v>1.5151030315320622</c:v>
                </c:pt>
                <c:pt idx="31">
                  <c:v>1.4532197681646342</c:v>
                </c:pt>
                <c:pt idx="32">
                  <c:v>1.3945897793320898</c:v>
                </c:pt>
                <c:pt idx="33">
                  <c:v>1.3389790960426209</c:v>
                </c:pt>
                <c:pt idx="34">
                  <c:v>1.2861765480238785</c:v>
                </c:pt>
                <c:pt idx="35">
                  <c:v>1.2359909225664383</c:v>
                </c:pt>
                <c:pt idx="36">
                  <c:v>1.1882485508466427</c:v>
                </c:pt>
                <c:pt idx="37">
                  <c:v>1.1427912471632837</c:v>
                </c:pt>
                <c:pt idx="38">
                  <c:v>1.0994745411973659</c:v>
                </c:pt>
                <c:pt idx="39">
                  <c:v>1.05816615488203</c:v>
                </c:pt>
                <c:pt idx="40">
                  <c:v>1.0187446845107506</c:v>
                </c:pt>
                <c:pt idx="41">
                  <c:v>0.98109845588108135</c:v>
                </c:pt>
                <c:pt idx="42">
                  <c:v>0.94512452599209962</c:v>
                </c:pt>
                <c:pt idx="43">
                  <c:v>0.91072780940621312</c:v>
                </c:pt>
                <c:pt idx="44">
                  <c:v>0.87782031109367376</c:v>
                </c:pt>
                <c:pt idx="45">
                  <c:v>0.84632045058765093</c:v>
                </c:pt>
                <c:pt idx="46">
                  <c:v>0.81615246473307002</c:v>
                </c:pt>
                <c:pt idx="47">
                  <c:v>0.7872458783254771</c:v>
                </c:pt>
                <c:pt idx="48">
                  <c:v>0.7595350335943214</c:v>
                </c:pt>
                <c:pt idx="49">
                  <c:v>0.73295867085691513</c:v>
                </c:pt>
                <c:pt idx="50">
                  <c:v>0.70745955380921699</c:v>
                </c:pt>
                <c:pt idx="51">
                  <c:v>0.68298413387052437</c:v>
                </c:pt>
                <c:pt idx="52">
                  <c:v>0.65948224879563933</c:v>
                </c:pt>
                <c:pt idx="53">
                  <c:v>0.63690685143761516</c:v>
                </c:pt>
                <c:pt idx="54">
                  <c:v>0.61521376510907633</c:v>
                </c:pt>
                <c:pt idx="55">
                  <c:v>0.59436146246833943</c:v>
                </c:pt>
                <c:pt idx="56">
                  <c:v>0.57431086526275388</c:v>
                </c:pt>
                <c:pt idx="57">
                  <c:v>0.55502516260781365</c:v>
                </c:pt>
                <c:pt idx="58">
                  <c:v>0.53646964577642176</c:v>
                </c:pt>
                <c:pt idx="59">
                  <c:v>0.51861155772629086</c:v>
                </c:pt>
                <c:pt idx="60">
                  <c:v>0.50141995581147647</c:v>
                </c:pt>
                <c:pt idx="61">
                  <c:v>0.48486558631198157</c:v>
                </c:pt>
                <c:pt idx="62">
                  <c:v>0.46892076957780238</c:v>
                </c:pt>
                <c:pt idx="63">
                  <c:v>0.45355929472454942</c:v>
                </c:pt>
                <c:pt idx="64">
                  <c:v>0.43875632294004957</c:v>
                </c:pt>
                <c:pt idx="65">
                  <c:v>0.42448829856780962</c:v>
                </c:pt>
                <c:pt idx="66">
                  <c:v>0.41073286722614555</c:v>
                </c:pt>
                <c:pt idx="67">
                  <c:v>0.39746880030306858</c:v>
                </c:pt>
                <c:pt idx="68">
                  <c:v>0.38467592523828015</c:v>
                </c:pt>
                <c:pt idx="69">
                  <c:v>0.37233506106622133</c:v>
                </c:pt>
                <c:pt idx="70">
                  <c:v>0.36042795874923256</c:v>
                </c:pt>
                <c:pt idx="71">
                  <c:v>0.34893724587847669</c:v>
                </c:pt>
                <c:pt idx="72">
                  <c:v>0.33784637536323403</c:v>
                </c:pt>
                <c:pt idx="73">
                  <c:v>0.32713957776720198</c:v>
                </c:pt>
                <c:pt idx="74">
                  <c:v>0.31680181698416171</c:v>
                </c:pt>
                <c:pt idx="75">
                  <c:v>0.30681874897534422</c:v>
                </c:pt>
                <c:pt idx="76">
                  <c:v>0.29717668331749963</c:v>
                </c:pt>
                <c:pt idx="77">
                  <c:v>0.28786254733445832</c:v>
                </c:pt>
                <c:pt idx="78">
                  <c:v>0.27886385260620339</c:v>
                </c:pt>
                <c:pt idx="79">
                  <c:v>0.27016866366847214</c:v>
                </c:pt>
                <c:pt idx="80">
                  <c:v>0.26176556873291401</c:v>
                </c:pt>
                <c:pt idx="81">
                  <c:v>0.25364365227309682</c:v>
                </c:pt>
                <c:pt idx="82">
                  <c:v>0.24579246933536716</c:v>
                </c:pt>
                <c:pt idx="83">
                  <c:v>0.2382020214459038</c:v>
                </c:pt>
                <c:pt idx="84">
                  <c:v>0.23086273399642282</c:v>
                </c:pt>
                <c:pt idx="85">
                  <c:v>0.22376543500101717</c:v>
                </c:pt>
                <c:pt idx="86">
                  <c:v>0.21690133512567467</c:v>
                </c:pt>
                <c:pt idx="87">
                  <c:v>0.21026200890020874</c:v>
                </c:pt>
                <c:pt idx="88">
                  <c:v>0.20383937702976163</c:v>
                </c:pt>
                <c:pt idx="89">
                  <c:v>0.19762568972976313</c:v>
                </c:pt>
                <c:pt idx="90">
                  <c:v>0.19161351101434185</c:v>
                </c:pt>
                <c:pt idx="91">
                  <c:v>0.18579570387373506</c:v>
                </c:pt>
                <c:pt idx="92">
                  <c:v>0.18016541628129784</c:v>
                </c:pt>
                <c:pt idx="93">
                  <c:v>0.17471606797531414</c:v>
                </c:pt>
                <c:pt idx="94">
                  <c:v>0.16944133796501179</c:v>
                </c:pt>
                <c:pt idx="95">
                  <c:v>0.16433515271401264</c:v>
                </c:pt>
                <c:pt idx="96">
                  <c:v>0.15939167495795739</c:v>
                </c:pt>
                <c:pt idx="97">
                  <c:v>0.15460529311624244</c:v>
                </c:pt>
                <c:pt idx="98">
                  <c:v>0.14997061126074732</c:v>
                </c:pt>
                <c:pt idx="99">
                  <c:v>0.1454824396071156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1D-43A8-A9BD-98451C00F4B4}"/>
            </c:ext>
          </c:extLst>
        </c:ser>
        <c:ser>
          <c:idx val="1"/>
          <c:order val="1"/>
          <c:tx>
            <c:v>CNI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Calc_Area!$K$1035:$K$1134</c:f>
              <c:numCache>
                <c:formatCode>0.0E+00</c:formatCode>
                <c:ptCount val="100"/>
                <c:pt idx="0" formatCode="0.00E+00">
                  <c:v>9.0232994819607012E-6</c:v>
                </c:pt>
                <c:pt idx="1">
                  <c:v>5.070596653304801E-3</c:v>
                </c:pt>
                <c:pt idx="2">
                  <c:v>1.0132170007127642E-2</c:v>
                </c:pt>
                <c:pt idx="3">
                  <c:v>1.5193743360950482E-2</c:v>
                </c:pt>
                <c:pt idx="4">
                  <c:v>2.0255316714773323E-2</c:v>
                </c:pt>
                <c:pt idx="5">
                  <c:v>2.5316890068596165E-2</c:v>
                </c:pt>
                <c:pt idx="6">
                  <c:v>3.0378463422419004E-2</c:v>
                </c:pt>
                <c:pt idx="7">
                  <c:v>3.5440036776241843E-2</c:v>
                </c:pt>
                <c:pt idx="8">
                  <c:v>4.0501610130064682E-2</c:v>
                </c:pt>
                <c:pt idx="9">
                  <c:v>4.556318348388752E-2</c:v>
                </c:pt>
                <c:pt idx="10">
                  <c:v>5.0624756837710359E-2</c:v>
                </c:pt>
                <c:pt idx="11">
                  <c:v>5.5686330191533198E-2</c:v>
                </c:pt>
                <c:pt idx="12">
                  <c:v>6.0747903545356037E-2</c:v>
                </c:pt>
                <c:pt idx="13">
                  <c:v>6.5809476899178876E-2</c:v>
                </c:pt>
                <c:pt idx="14">
                  <c:v>7.0871050253001722E-2</c:v>
                </c:pt>
                <c:pt idx="15">
                  <c:v>7.5932623606824567E-2</c:v>
                </c:pt>
                <c:pt idx="16">
                  <c:v>8.0994196960647413E-2</c:v>
                </c:pt>
                <c:pt idx="17">
                  <c:v>8.6055770314470259E-2</c:v>
                </c:pt>
                <c:pt idx="18">
                  <c:v>9.1117343668293105E-2</c:v>
                </c:pt>
                <c:pt idx="19">
                  <c:v>9.6178917022115951E-2</c:v>
                </c:pt>
                <c:pt idx="20">
                  <c:v>0.1012404903759388</c:v>
                </c:pt>
                <c:pt idx="21">
                  <c:v>0.10630206372976164</c:v>
                </c:pt>
                <c:pt idx="22">
                  <c:v>0.11136363708358449</c:v>
                </c:pt>
                <c:pt idx="23">
                  <c:v>0.11642521043740733</c:v>
                </c:pt>
                <c:pt idx="24">
                  <c:v>0.12148678379123018</c:v>
                </c:pt>
                <c:pt idx="25">
                  <c:v>0.12654835714505303</c:v>
                </c:pt>
                <c:pt idx="26">
                  <c:v>0.13160993049887587</c:v>
                </c:pt>
                <c:pt idx="27">
                  <c:v>0.13667150385269872</c:v>
                </c:pt>
                <c:pt idx="28">
                  <c:v>0.14173307720652156</c:v>
                </c:pt>
                <c:pt idx="29">
                  <c:v>0.14679465056034441</c:v>
                </c:pt>
                <c:pt idx="30">
                  <c:v>0.15185622391416725</c:v>
                </c:pt>
                <c:pt idx="31">
                  <c:v>0.1569177972679901</c:v>
                </c:pt>
                <c:pt idx="32">
                  <c:v>0.16197937062181295</c:v>
                </c:pt>
                <c:pt idx="33">
                  <c:v>0.16704094397563579</c:v>
                </c:pt>
                <c:pt idx="34">
                  <c:v>0.17210251732945864</c:v>
                </c:pt>
                <c:pt idx="35">
                  <c:v>0.17716409068328148</c:v>
                </c:pt>
                <c:pt idx="36">
                  <c:v>0.18222566403710433</c:v>
                </c:pt>
                <c:pt idx="37">
                  <c:v>0.18728723739092717</c:v>
                </c:pt>
                <c:pt idx="38">
                  <c:v>0.19234881074475002</c:v>
                </c:pt>
                <c:pt idx="39">
                  <c:v>0.19741038409857287</c:v>
                </c:pt>
                <c:pt idx="40">
                  <c:v>0.20247195745239571</c:v>
                </c:pt>
                <c:pt idx="41">
                  <c:v>0.20753353080621856</c:v>
                </c:pt>
                <c:pt idx="42">
                  <c:v>0.2125951041600414</c:v>
                </c:pt>
                <c:pt idx="43">
                  <c:v>0.21765667751386425</c:v>
                </c:pt>
                <c:pt idx="44">
                  <c:v>0.2227182508676871</c:v>
                </c:pt>
                <c:pt idx="45">
                  <c:v>0.22777982422150994</c:v>
                </c:pt>
                <c:pt idx="46">
                  <c:v>0.23284139757533279</c:v>
                </c:pt>
                <c:pt idx="47">
                  <c:v>0.23790297092915563</c:v>
                </c:pt>
                <c:pt idx="48">
                  <c:v>0.24296454428297848</c:v>
                </c:pt>
                <c:pt idx="49">
                  <c:v>0.24802611763680132</c:v>
                </c:pt>
                <c:pt idx="50">
                  <c:v>0.25308769099062417</c:v>
                </c:pt>
                <c:pt idx="51">
                  <c:v>0.25814926434444702</c:v>
                </c:pt>
                <c:pt idx="52">
                  <c:v>0.26321083769826986</c:v>
                </c:pt>
                <c:pt idx="53">
                  <c:v>0.26827241105209271</c:v>
                </c:pt>
                <c:pt idx="54">
                  <c:v>0.27333398440591555</c:v>
                </c:pt>
                <c:pt idx="55">
                  <c:v>0.2783955577597384</c:v>
                </c:pt>
                <c:pt idx="56">
                  <c:v>0.28345713111356124</c:v>
                </c:pt>
                <c:pt idx="57">
                  <c:v>0.28851870446738409</c:v>
                </c:pt>
                <c:pt idx="58">
                  <c:v>0.29358027782120694</c:v>
                </c:pt>
                <c:pt idx="59">
                  <c:v>0.29864185117502978</c:v>
                </c:pt>
                <c:pt idx="60">
                  <c:v>0.30370342452885263</c:v>
                </c:pt>
                <c:pt idx="61">
                  <c:v>0.30876499788267547</c:v>
                </c:pt>
                <c:pt idx="62">
                  <c:v>0.31382657123649832</c:v>
                </c:pt>
                <c:pt idx="63">
                  <c:v>0.31888814459032117</c:v>
                </c:pt>
                <c:pt idx="64">
                  <c:v>0.32394971794414401</c:v>
                </c:pt>
                <c:pt idx="65">
                  <c:v>0.32901129129796686</c:v>
                </c:pt>
                <c:pt idx="66">
                  <c:v>0.3340728646517897</c:v>
                </c:pt>
                <c:pt idx="67">
                  <c:v>0.33913443800561255</c:v>
                </c:pt>
                <c:pt idx="68">
                  <c:v>0.34419601135943539</c:v>
                </c:pt>
                <c:pt idx="69">
                  <c:v>0.34925758471325824</c:v>
                </c:pt>
                <c:pt idx="70">
                  <c:v>0.35431915806708109</c:v>
                </c:pt>
                <c:pt idx="71">
                  <c:v>0.35938073142090393</c:v>
                </c:pt>
                <c:pt idx="72">
                  <c:v>0.36444230477472678</c:v>
                </c:pt>
                <c:pt idx="73">
                  <c:v>0.36950387812854962</c:v>
                </c:pt>
                <c:pt idx="74">
                  <c:v>0.37456545148237247</c:v>
                </c:pt>
                <c:pt idx="75">
                  <c:v>0.37962702483619531</c:v>
                </c:pt>
                <c:pt idx="76">
                  <c:v>0.38468859819001816</c:v>
                </c:pt>
                <c:pt idx="77">
                  <c:v>0.38975017154384101</c:v>
                </c:pt>
                <c:pt idx="78">
                  <c:v>0.39481174489766385</c:v>
                </c:pt>
                <c:pt idx="79">
                  <c:v>0.3998733182514867</c:v>
                </c:pt>
                <c:pt idx="80">
                  <c:v>0.40493489160530954</c:v>
                </c:pt>
                <c:pt idx="81">
                  <c:v>0.40999646495913239</c:v>
                </c:pt>
                <c:pt idx="82">
                  <c:v>0.41505803831295524</c:v>
                </c:pt>
                <c:pt idx="83">
                  <c:v>0.42011961166677808</c:v>
                </c:pt>
                <c:pt idx="84">
                  <c:v>0.42518118502060093</c:v>
                </c:pt>
                <c:pt idx="85">
                  <c:v>0.43024275837442377</c:v>
                </c:pt>
                <c:pt idx="86">
                  <c:v>0.43530433172824662</c:v>
                </c:pt>
                <c:pt idx="87">
                  <c:v>0.44036590508206946</c:v>
                </c:pt>
                <c:pt idx="88">
                  <c:v>0.44542747843589231</c:v>
                </c:pt>
                <c:pt idx="89">
                  <c:v>0.45048905178971516</c:v>
                </c:pt>
                <c:pt idx="90">
                  <c:v>0.455550625143538</c:v>
                </c:pt>
                <c:pt idx="91">
                  <c:v>0.46061219849736085</c:v>
                </c:pt>
                <c:pt idx="92">
                  <c:v>0.46567377185118369</c:v>
                </c:pt>
                <c:pt idx="93">
                  <c:v>0.47073534520500654</c:v>
                </c:pt>
                <c:pt idx="94">
                  <c:v>0.47579691855882938</c:v>
                </c:pt>
                <c:pt idx="95">
                  <c:v>0.48085849191265223</c:v>
                </c:pt>
                <c:pt idx="96">
                  <c:v>0.48592006526647508</c:v>
                </c:pt>
                <c:pt idx="97">
                  <c:v>0.49098163862029792</c:v>
                </c:pt>
                <c:pt idx="98">
                  <c:v>0.49604321197412077</c:v>
                </c:pt>
                <c:pt idx="99">
                  <c:v>0.50110478532794356</c:v>
                </c:pt>
              </c:numCache>
            </c:numRef>
          </c:xVal>
          <c:yVal>
            <c:numRef>
              <c:f>Calc_Area!$M$1035:$M$1134</c:f>
              <c:numCache>
                <c:formatCode>General</c:formatCode>
                <c:ptCount val="100"/>
                <c:pt idx="0">
                  <c:v>5512.1049924140661</c:v>
                </c:pt>
                <c:pt idx="1">
                  <c:v>2.7735367788009522</c:v>
                </c:pt>
                <c:pt idx="2">
                  <c:v>2.3403215018473103E-2</c:v>
                </c:pt>
                <c:pt idx="3">
                  <c:v>2.2795948044544427E-4</c:v>
                </c:pt>
                <c:pt idx="4">
                  <c:v>2.3549615864028998E-6</c:v>
                </c:pt>
                <c:pt idx="5">
                  <c:v>2.5125312003483627E-8</c:v>
                </c:pt>
                <c:pt idx="6">
                  <c:v>2.7358799378154165E-10</c:v>
                </c:pt>
                <c:pt idx="7">
                  <c:v>3.0213159899755722E-12</c:v>
                </c:pt>
                <c:pt idx="8">
                  <c:v>3.3710902657784968E-14</c:v>
                </c:pt>
                <c:pt idx="9">
                  <c:v>3.7910786162109555E-16</c:v>
                </c:pt>
                <c:pt idx="10">
                  <c:v>4.2899441728634752E-18</c:v>
                </c:pt>
                <c:pt idx="11">
                  <c:v>4.8789021869175046E-20</c:v>
                </c:pt>
                <c:pt idx="12">
                  <c:v>5.5717812557547768E-22</c:v>
                </c:pt>
                <c:pt idx="13">
                  <c:v>6.3852628659276303E-24</c:v>
                </c:pt>
                <c:pt idx="14">
                  <c:v>7.3392530279806905E-26</c:v>
                </c:pt>
                <c:pt idx="15">
                  <c:v>8.4573710929207364E-28</c:v>
                </c:pt>
                <c:pt idx="16">
                  <c:v>9.7675565171704681E-30</c:v>
                </c:pt>
                <c:pt idx="17">
                  <c:v>1.1302803602287275E-31</c:v>
                </c:pt>
                <c:pt idx="18">
                  <c:v>1.3102040853772033E-33</c:v>
                </c:pt>
                <c:pt idx="19">
                  <c:v>1.5211177283874474E-35</c:v>
                </c:pt>
                <c:pt idx="20">
                  <c:v>1.7684343584484603E-37</c:v>
                </c:pt>
                <c:pt idx="21">
                  <c:v>2.0585362115207826E-39</c:v>
                </c:pt>
                <c:pt idx="22">
                  <c:v>2.3989486432001366E-41</c:v>
                </c:pt>
                <c:pt idx="23">
                  <c:v>2.7985458908184445E-43</c:v>
                </c:pt>
                <c:pt idx="24">
                  <c:v>3.2677944146633185E-45</c:v>
                </c:pt>
                <c:pt idx="25">
                  <c:v>3.8190406640858319E-47</c:v>
                </c:pt>
                <c:pt idx="26">
                  <c:v>4.4668513839794484E-49</c:v>
                </c:pt>
                <c:pt idx="27">
                  <c:v>5.2284160782794507E-51</c:v>
                </c:pt>
                <c:pt idx="28">
                  <c:v>6.1240230237145921E-53</c:v>
                </c:pt>
                <c:pt idx="29">
                  <c:v>7.1776223308163782E-55</c:v>
                </c:pt>
                <c:pt idx="30">
                  <c:v>8.417492041296396E-57</c:v>
                </c:pt>
                <c:pt idx="31">
                  <c:v>9.8770262037317467E-59</c:v>
                </c:pt>
                <c:pt idx="32">
                  <c:v>1.1595667368811016E-60</c:v>
                </c:pt>
                <c:pt idx="33">
                  <c:v>1.3620010092841179E-62</c:v>
                </c:pt>
                <c:pt idx="34">
                  <c:v>1.6005106954388532E-64</c:v>
                </c:pt>
                <c:pt idx="35">
                  <c:v>1.8816014416793627E-66</c:v>
                </c:pt>
                <c:pt idx="36">
                  <c:v>2.2129622778532805E-68</c:v>
                </c:pt>
                <c:pt idx="37">
                  <c:v>2.6036822645209858E-70</c:v>
                </c:pt>
                <c:pt idx="38">
                  <c:v>3.0645070070195096E-72</c:v>
                </c:pt>
                <c:pt idx="39">
                  <c:v>3.6081424028862886E-74</c:v>
                </c:pt>
                <c:pt idx="40">
                  <c:v>4.2496143550294687E-76</c:v>
                </c:pt>
                <c:pt idx="41">
                  <c:v>5.0066948029121885E-78</c:v>
                </c:pt>
                <c:pt idx="42">
                  <c:v>5.9004063452492184E-80</c:v>
                </c:pt>
                <c:pt idx="43">
                  <c:v>6.955620006482621E-82</c:v>
                </c:pt>
                <c:pt idx="44">
                  <c:v>8.2017634023126658E-84</c:v>
                </c:pt>
                <c:pt idx="45">
                  <c:v>9.6736597659821041E-86</c:v>
                </c:pt>
                <c:pt idx="46">
                  <c:v>1.1412522100802302E-87</c:v>
                </c:pt>
                <c:pt idx="47">
                  <c:v>1.3467131237138859E-89</c:v>
                </c:pt>
                <c:pt idx="48">
                  <c:v>1.589523192613395E-91</c:v>
                </c:pt>
                <c:pt idx="49">
                  <c:v>1.8765187455058852E-93</c:v>
                </c:pt>
                <c:pt idx="50">
                  <c:v>2.2157940806952623E-95</c:v>
                </c:pt>
                <c:pt idx="51">
                  <c:v>2.6169339331729082E-97</c:v>
                </c:pt>
                <c:pt idx="52">
                  <c:v>3.0912890510242998E-99</c:v>
                </c:pt>
                <c:pt idx="53">
                  <c:v>3.6523028989306521E-101</c:v>
                </c:pt>
                <c:pt idx="54">
                  <c:v>4.3158990015152994E-103</c:v>
                </c:pt>
                <c:pt idx="55">
                  <c:v>5.1009402135851868E-105</c:v>
                </c:pt>
                <c:pt idx="56">
                  <c:v>6.0297733102557369E-107</c:v>
                </c:pt>
                <c:pt idx="57">
                  <c:v>7.1288747896374068E-109</c:v>
                </c:pt>
                <c:pt idx="58">
                  <c:v>8.4296167479436059E-111</c:v>
                </c:pt>
                <c:pt idx="59">
                  <c:v>9.9691752091579778E-113</c:v>
                </c:pt>
                <c:pt idx="60">
                  <c:v>1.1791607472795385E-114</c:v>
                </c:pt>
                <c:pt idx="61">
                  <c:v>1.3949130007338007E-116</c:v>
                </c:pt>
                <c:pt idx="62">
                  <c:v>1.6503634310427059E-118</c:v>
                </c:pt>
                <c:pt idx="63">
                  <c:v>1.9528485154080488E-120</c:v>
                </c:pt>
                <c:pt idx="64">
                  <c:v>2.3110653941165262E-122</c:v>
                </c:pt>
                <c:pt idx="65">
                  <c:v>2.7353249764061582E-124</c:v>
                </c:pt>
                <c:pt idx="66">
                  <c:v>3.2378522469927416E-126</c:v>
                </c:pt>
                <c:pt idx="67">
                  <c:v>3.8331425946466367E-128</c:v>
                </c:pt>
                <c:pt idx="68">
                  <c:v>4.5383846359710004E-130</c:v>
                </c:pt>
                <c:pt idx="69">
                  <c:v>5.3739619690958579E-132</c:v>
                </c:pt>
                <c:pt idx="70">
                  <c:v>6.364048621569383E-134</c:v>
                </c:pt>
                <c:pt idx="71">
                  <c:v>7.5373157234034966E-136</c:v>
                </c:pt>
                <c:pt idx="72">
                  <c:v>8.9277702222058904E-138</c:v>
                </c:pt>
                <c:pt idx="73">
                  <c:v>1.0575750360156034E-139</c:v>
                </c:pt>
                <c:pt idx="74">
                  <c:v>1.2529107268248442E-141</c:v>
                </c:pt>
                <c:pt idx="75">
                  <c:v>1.4844607539540647E-143</c:v>
                </c:pt>
                <c:pt idx="76">
                  <c:v>1.7589598183797198E-145</c:v>
                </c:pt>
                <c:pt idx="77">
                  <c:v>2.084398313550421E-147</c:v>
                </c:pt>
                <c:pt idx="78">
                  <c:v>2.4702569716984134E-149</c:v>
                </c:pt>
                <c:pt idx="79">
                  <c:v>2.927785442289803E-151</c:v>
                </c:pt>
                <c:pt idx="80">
                  <c:v>3.4703330418478708E-153</c:v>
                </c:pt>
                <c:pt idx="81">
                  <c:v>4.1137414619244102E-155</c:v>
                </c:pt>
                <c:pt idx="82">
                  <c:v>4.8768110605948118E-157</c:v>
                </c:pt>
                <c:pt idx="83">
                  <c:v>5.7818545473270971E-159</c:v>
                </c:pt>
                <c:pt idx="84">
                  <c:v>6.8553544665465976E-161</c:v>
                </c:pt>
                <c:pt idx="85">
                  <c:v>8.1287439691173304E-163</c:v>
                </c:pt>
                <c:pt idx="86">
                  <c:v>9.6393340253237268E-165</c:v>
                </c:pt>
                <c:pt idx="87">
                  <c:v>1.1431414587089258E-166</c:v>
                </c:pt>
                <c:pt idx="88">
                  <c:v>1.3557562381189363E-168</c:v>
                </c:pt>
                <c:pt idx="89">
                  <c:v>1.608019416356531E-170</c:v>
                </c:pt>
                <c:pt idx="90">
                  <c:v>1.9073411571248465E-172</c:v>
                </c:pt>
                <c:pt idx="91">
                  <c:v>2.2625192391247187E-174</c:v>
                </c:pt>
                <c:pt idx="92">
                  <c:v>2.6839993384483537E-176</c:v>
                </c:pt>
                <c:pt idx="93">
                  <c:v>3.1841842066223266E-178</c:v>
                </c:pt>
                <c:pt idx="94">
                  <c:v>3.7778009419066162E-180</c:v>
                </c:pt>
                <c:pt idx="95">
                  <c:v>4.4823372836613656E-182</c:v>
                </c:pt>
                <c:pt idx="96">
                  <c:v>5.3185599183882216E-184</c:v>
                </c:pt>
                <c:pt idx="97">
                  <c:v>6.3111302330568609E-186</c:v>
                </c:pt>
                <c:pt idx="98">
                  <c:v>7.4893358598242689E-188</c:v>
                </c:pt>
                <c:pt idx="99">
                  <c:v>8.8879598133772979E-190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1D-43A8-A9BD-98451C00F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789328"/>
        <c:axId val="643786976"/>
      </c:scatterChart>
      <c:valAx>
        <c:axId val="64378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643786976"/>
        <c:crosses val="autoZero"/>
        <c:crossBetween val="midCat"/>
      </c:valAx>
      <c:valAx>
        <c:axId val="643786976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643789328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600" b="1" i="0" baseline="0"/>
              <a:t>Posterior when using the Informed Prior</a:t>
            </a:r>
            <a:endParaRPr lang="en-US" sz="12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'Bayes-Exponential'!$E$22</c:f>
                <c:numCache>
                  <c:formatCode>General</c:formatCode>
                  <c:ptCount val="1"/>
                  <c:pt idx="0">
                    <c:v>3.918664229110155E-3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'Bayes-Exponential'!$D$21</c:f>
              <c:numCache>
                <c:formatCode>0.00E+00</c:formatCode>
                <c:ptCount val="1"/>
                <c:pt idx="0">
                  <c:v>9.4670286005580397E-3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2-48B1-AAEB-D064950E9F91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'Bayes-Exponential'!$D$20</c:f>
              <c:numCache>
                <c:formatCode>0.00E+00</c:formatCode>
                <c:ptCount val="1"/>
                <c:pt idx="0">
                  <c:v>7.6589520202020199E-3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12-48B1-AAEB-D064950E9F91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'Bayes-Exponential'!$E$18</c:f>
                <c:numCache>
                  <c:formatCode>General</c:formatCode>
                  <c:ptCount val="1"/>
                  <c:pt idx="0">
                    <c:v>2.0445150307316948E-3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'Bayes-Exponential'!$D$19</c:f>
              <c:numCache>
                <c:formatCode>0.00E+00</c:formatCode>
                <c:ptCount val="1"/>
                <c:pt idx="0">
                  <c:v>5.3986670718556042E-3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12-48B1-AAEB-D064950E9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227944"/>
        <c:axId val="256228336"/>
      </c:barChart>
      <c:catAx>
        <c:axId val="256227944"/>
        <c:scaling>
          <c:orientation val="minMax"/>
        </c:scaling>
        <c:delete val="1"/>
        <c:axPos val="l"/>
        <c:majorTickMark val="out"/>
        <c:minorTickMark val="none"/>
        <c:tickLblPos val="none"/>
        <c:crossAx val="256228336"/>
        <c:crosses val="autoZero"/>
        <c:auto val="1"/>
        <c:lblAlgn val="ctr"/>
        <c:lblOffset val="100"/>
        <c:noMultiLvlLbl val="0"/>
      </c:catAx>
      <c:valAx>
        <c:axId val="256228336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562279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Posterior when using the Jeffreys Prior</a:t>
            </a:r>
            <a:endParaRPr lang="en-US" sz="14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'Bayes-Exponential'!$E$22</c:f>
                <c:numCache>
                  <c:formatCode>General</c:formatCode>
                  <c:ptCount val="1"/>
                  <c:pt idx="0">
                    <c:v>3.918664229110155E-3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'Bayes-Exponential'!$F$21</c:f>
              <c:numCache>
                <c:formatCode>0.00E+00</c:formatCode>
                <c:ptCount val="1"/>
                <c:pt idx="0">
                  <c:v>1.8744196554343659E-2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B-4F76-97F6-2F92709D9549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'Bayes-Exponential'!$F$20</c:f>
              <c:numCache>
                <c:formatCode>0.00E+00</c:formatCode>
                <c:ptCount val="1"/>
                <c:pt idx="0">
                  <c:v>1.5151515151515152E-2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8B-4F76-97F6-2F92709D9549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'Bayes-Exponential'!$G$18</c:f>
                <c:numCache>
                  <c:formatCode>General</c:formatCode>
                  <c:ptCount val="1"/>
                  <c:pt idx="0">
                    <c:v>4.0560470678575157E-3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'Bayes-Exponential'!$F$19</c:f>
              <c:numCache>
                <c:formatCode>0.00E+00</c:formatCode>
                <c:ptCount val="1"/>
                <c:pt idx="0">
                  <c:v>1.0654569149161354E-2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8B-4F76-97F6-2F92709D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229120"/>
        <c:axId val="256229512"/>
      </c:barChart>
      <c:catAx>
        <c:axId val="256229120"/>
        <c:scaling>
          <c:orientation val="minMax"/>
        </c:scaling>
        <c:delete val="1"/>
        <c:axPos val="l"/>
        <c:majorTickMark val="out"/>
        <c:minorTickMark val="none"/>
        <c:tickLblPos val="none"/>
        <c:crossAx val="256229512"/>
        <c:crosses val="autoZero"/>
        <c:auto val="1"/>
        <c:lblAlgn val="ctr"/>
        <c:lblOffset val="100"/>
        <c:noMultiLvlLbl val="0"/>
      </c:catAx>
      <c:valAx>
        <c:axId val="256229512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5622912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Informed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Informed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Calc_Area!$E$1139:$E$1238</c:f>
              <c:numCache>
                <c:formatCode>0.0E+00</c:formatCode>
                <c:ptCount val="100"/>
                <c:pt idx="0">
                  <c:v>6.619352724928611E-34</c:v>
                </c:pt>
                <c:pt idx="1">
                  <c:v>1.6842656689607707E-4</c:v>
                </c:pt>
                <c:pt idx="2">
                  <c:v>3.3685313379215414E-4</c:v>
                </c:pt>
                <c:pt idx="3">
                  <c:v>5.0527970068823115E-4</c:v>
                </c:pt>
                <c:pt idx="4">
                  <c:v>6.7370626758430827E-4</c:v>
                </c:pt>
                <c:pt idx="5">
                  <c:v>8.4213283448038539E-4</c:v>
                </c:pt>
                <c:pt idx="6">
                  <c:v>1.0105594013764625E-3</c:v>
                </c:pt>
                <c:pt idx="7">
                  <c:v>1.1789859682725396E-3</c:v>
                </c:pt>
                <c:pt idx="8">
                  <c:v>1.3474125351686168E-3</c:v>
                </c:pt>
                <c:pt idx="9">
                  <c:v>1.5158391020646939E-3</c:v>
                </c:pt>
                <c:pt idx="10">
                  <c:v>1.684265668960771E-3</c:v>
                </c:pt>
                <c:pt idx="11">
                  <c:v>1.8526922358568481E-3</c:v>
                </c:pt>
                <c:pt idx="12">
                  <c:v>2.021118802752925E-3</c:v>
                </c:pt>
                <c:pt idx="13">
                  <c:v>2.1895453696490022E-3</c:v>
                </c:pt>
                <c:pt idx="14">
                  <c:v>2.3579719365450793E-3</c:v>
                </c:pt>
                <c:pt idx="15">
                  <c:v>2.5263985034411564E-3</c:v>
                </c:pt>
                <c:pt idx="16">
                  <c:v>2.6948250703372335E-3</c:v>
                </c:pt>
                <c:pt idx="17">
                  <c:v>2.8632516372333106E-3</c:v>
                </c:pt>
                <c:pt idx="18">
                  <c:v>3.0316782041293878E-3</c:v>
                </c:pt>
                <c:pt idx="19">
                  <c:v>3.2001047710254649E-3</c:v>
                </c:pt>
                <c:pt idx="20">
                  <c:v>3.368531337921542E-3</c:v>
                </c:pt>
                <c:pt idx="21">
                  <c:v>3.5369579048176191E-3</c:v>
                </c:pt>
                <c:pt idx="22">
                  <c:v>3.7053844717136963E-3</c:v>
                </c:pt>
                <c:pt idx="23">
                  <c:v>3.8738110386097734E-3</c:v>
                </c:pt>
                <c:pt idx="24">
                  <c:v>4.0422376055058501E-3</c:v>
                </c:pt>
                <c:pt idx="25">
                  <c:v>4.2106641724019272E-3</c:v>
                </c:pt>
                <c:pt idx="26">
                  <c:v>4.3790907392980043E-3</c:v>
                </c:pt>
                <c:pt idx="27">
                  <c:v>4.5475173061940814E-3</c:v>
                </c:pt>
                <c:pt idx="28">
                  <c:v>4.7159438730901585E-3</c:v>
                </c:pt>
                <c:pt idx="29">
                  <c:v>4.8843704399862357E-3</c:v>
                </c:pt>
                <c:pt idx="30">
                  <c:v>5.0527970068823128E-3</c:v>
                </c:pt>
                <c:pt idx="31">
                  <c:v>5.2212235737783899E-3</c:v>
                </c:pt>
                <c:pt idx="32">
                  <c:v>5.389650140674467E-3</c:v>
                </c:pt>
                <c:pt idx="33">
                  <c:v>5.5580767075705442E-3</c:v>
                </c:pt>
                <c:pt idx="34">
                  <c:v>5.7265032744666213E-3</c:v>
                </c:pt>
                <c:pt idx="35">
                  <c:v>5.8949298413626984E-3</c:v>
                </c:pt>
                <c:pt idx="36">
                  <c:v>6.0633564082587755E-3</c:v>
                </c:pt>
                <c:pt idx="37">
                  <c:v>6.2317829751548526E-3</c:v>
                </c:pt>
                <c:pt idx="38">
                  <c:v>6.4002095420509298E-3</c:v>
                </c:pt>
                <c:pt idx="39">
                  <c:v>6.5686361089470069E-3</c:v>
                </c:pt>
                <c:pt idx="40">
                  <c:v>6.737062675843084E-3</c:v>
                </c:pt>
                <c:pt idx="41">
                  <c:v>6.9054892427391611E-3</c:v>
                </c:pt>
                <c:pt idx="42">
                  <c:v>7.0739158096352383E-3</c:v>
                </c:pt>
                <c:pt idx="43">
                  <c:v>7.2423423765313154E-3</c:v>
                </c:pt>
                <c:pt idx="44">
                  <c:v>7.4107689434273925E-3</c:v>
                </c:pt>
                <c:pt idx="45">
                  <c:v>7.5791955103234696E-3</c:v>
                </c:pt>
                <c:pt idx="46">
                  <c:v>7.7476220772195467E-3</c:v>
                </c:pt>
                <c:pt idx="47">
                  <c:v>7.9160486441156239E-3</c:v>
                </c:pt>
                <c:pt idx="48">
                  <c:v>8.0844752110117001E-3</c:v>
                </c:pt>
                <c:pt idx="49">
                  <c:v>8.2529017779077764E-3</c:v>
                </c:pt>
                <c:pt idx="50">
                  <c:v>8.4213283448038526E-3</c:v>
                </c:pt>
                <c:pt idx="51">
                  <c:v>8.5897549116999289E-3</c:v>
                </c:pt>
                <c:pt idx="52">
                  <c:v>8.7581814785960051E-3</c:v>
                </c:pt>
                <c:pt idx="53">
                  <c:v>8.9266080454920814E-3</c:v>
                </c:pt>
                <c:pt idx="54">
                  <c:v>9.0950346123881576E-3</c:v>
                </c:pt>
                <c:pt idx="55">
                  <c:v>9.2634611792842339E-3</c:v>
                </c:pt>
                <c:pt idx="56">
                  <c:v>9.4318877461803102E-3</c:v>
                </c:pt>
                <c:pt idx="57">
                  <c:v>9.6003143130763864E-3</c:v>
                </c:pt>
                <c:pt idx="58">
                  <c:v>9.7687408799724627E-3</c:v>
                </c:pt>
                <c:pt idx="59">
                  <c:v>9.9371674468685389E-3</c:v>
                </c:pt>
                <c:pt idx="60">
                  <c:v>1.0105594013764615E-2</c:v>
                </c:pt>
                <c:pt idx="61">
                  <c:v>1.0274020580660691E-2</c:v>
                </c:pt>
                <c:pt idx="62">
                  <c:v>1.0442447147556768E-2</c:v>
                </c:pt>
                <c:pt idx="63">
                  <c:v>1.0610873714452844E-2</c:v>
                </c:pt>
                <c:pt idx="64">
                  <c:v>1.077930028134892E-2</c:v>
                </c:pt>
                <c:pt idx="65">
                  <c:v>1.0947726848244996E-2</c:v>
                </c:pt>
                <c:pt idx="66">
                  <c:v>1.1116153415141073E-2</c:v>
                </c:pt>
                <c:pt idx="67">
                  <c:v>1.1284579982037149E-2</c:v>
                </c:pt>
                <c:pt idx="68">
                  <c:v>1.1453006548933225E-2</c:v>
                </c:pt>
                <c:pt idx="69">
                  <c:v>1.1621433115829301E-2</c:v>
                </c:pt>
                <c:pt idx="70">
                  <c:v>1.1789859682725378E-2</c:v>
                </c:pt>
                <c:pt idx="71">
                  <c:v>1.1958286249621454E-2</c:v>
                </c:pt>
                <c:pt idx="72">
                  <c:v>1.212671281651753E-2</c:v>
                </c:pt>
                <c:pt idx="73">
                  <c:v>1.2295139383413606E-2</c:v>
                </c:pt>
                <c:pt idx="74">
                  <c:v>1.2463565950309683E-2</c:v>
                </c:pt>
                <c:pt idx="75">
                  <c:v>1.2631992517205759E-2</c:v>
                </c:pt>
                <c:pt idx="76">
                  <c:v>1.2800419084101835E-2</c:v>
                </c:pt>
                <c:pt idx="77">
                  <c:v>1.2968845650997912E-2</c:v>
                </c:pt>
                <c:pt idx="78">
                  <c:v>1.3137272217893988E-2</c:v>
                </c:pt>
                <c:pt idx="79">
                  <c:v>1.3305698784790064E-2</c:v>
                </c:pt>
                <c:pt idx="80">
                  <c:v>1.347412535168614E-2</c:v>
                </c:pt>
                <c:pt idx="81">
                  <c:v>1.3642551918582217E-2</c:v>
                </c:pt>
                <c:pt idx="82">
                  <c:v>1.3810978485478293E-2</c:v>
                </c:pt>
                <c:pt idx="83">
                  <c:v>1.3979405052374369E-2</c:v>
                </c:pt>
                <c:pt idx="84">
                  <c:v>1.4147831619270445E-2</c:v>
                </c:pt>
                <c:pt idx="85">
                  <c:v>1.4316258186166522E-2</c:v>
                </c:pt>
                <c:pt idx="86">
                  <c:v>1.4484684753062598E-2</c:v>
                </c:pt>
                <c:pt idx="87">
                  <c:v>1.4653111319958674E-2</c:v>
                </c:pt>
                <c:pt idx="88">
                  <c:v>1.482153788685475E-2</c:v>
                </c:pt>
                <c:pt idx="89">
                  <c:v>1.4989964453750827E-2</c:v>
                </c:pt>
                <c:pt idx="90">
                  <c:v>1.5158391020646903E-2</c:v>
                </c:pt>
                <c:pt idx="91">
                  <c:v>1.5326817587542979E-2</c:v>
                </c:pt>
                <c:pt idx="92">
                  <c:v>1.5495244154439055E-2</c:v>
                </c:pt>
                <c:pt idx="93">
                  <c:v>1.5663670721335132E-2</c:v>
                </c:pt>
                <c:pt idx="94">
                  <c:v>1.583209728823121E-2</c:v>
                </c:pt>
                <c:pt idx="95">
                  <c:v>1.6000523855127288E-2</c:v>
                </c:pt>
                <c:pt idx="96">
                  <c:v>1.6168950422023366E-2</c:v>
                </c:pt>
                <c:pt idx="97">
                  <c:v>1.6337376988919444E-2</c:v>
                </c:pt>
                <c:pt idx="98">
                  <c:v>1.6505803555815522E-2</c:v>
                </c:pt>
                <c:pt idx="99">
                  <c:v>1.66742301227116E-2</c:v>
                </c:pt>
              </c:numCache>
            </c:numRef>
          </c:xVal>
          <c:yVal>
            <c:numRef>
              <c:f>Calc_Area!$F$1139:$F$1238</c:f>
              <c:numCache>
                <c:formatCode>General</c:formatCode>
                <c:ptCount val="100"/>
                <c:pt idx="0">
                  <c:v>9.9541454788860253E+29</c:v>
                </c:pt>
                <c:pt idx="1">
                  <c:v>316.94030096567144</c:v>
                </c:pt>
                <c:pt idx="2">
                  <c:v>155.17302703830669</c:v>
                </c:pt>
                <c:pt idx="3">
                  <c:v>99.394309662030793</c:v>
                </c:pt>
                <c:pt idx="4">
                  <c:v>71.070421953467147</c:v>
                </c:pt>
                <c:pt idx="5">
                  <c:v>53.97568680193767</c:v>
                </c:pt>
                <c:pt idx="6">
                  <c:v>42.586120522528503</c:v>
                </c:pt>
                <c:pt idx="7">
                  <c:v>34.495806945290553</c:v>
                </c:pt>
                <c:pt idx="8">
                  <c:v>28.485860722760656</c:v>
                </c:pt>
                <c:pt idx="9">
                  <c:v>23.871579694858255</c:v>
                </c:pt>
                <c:pt idx="10">
                  <c:v>20.238229908438754</c:v>
                </c:pt>
                <c:pt idx="11">
                  <c:v>17.319729286982849</c:v>
                </c:pt>
                <c:pt idx="12">
                  <c:v>14.937445110583466</c:v>
                </c:pt>
                <c:pt idx="13">
                  <c:v>12.966972410884722</c:v>
                </c:pt>
                <c:pt idx="14">
                  <c:v>11.319010106901141</c:v>
                </c:pt>
                <c:pt idx="15">
                  <c:v>9.9278086196568314</c:v>
                </c:pt>
                <c:pt idx="16">
                  <c:v>8.7439040049088153</c:v>
                </c:pt>
                <c:pt idx="17">
                  <c:v>7.7293887654756075</c:v>
                </c:pt>
                <c:pt idx="18">
                  <c:v>6.85474161925461</c:v>
                </c:pt>
                <c:pt idx="19">
                  <c:v>6.0966471190373781</c:v>
                </c:pt>
                <c:pt idx="20">
                  <c:v>5.4364619244160686</c:v>
                </c:pt>
                <c:pt idx="21">
                  <c:v>4.8591142440613844</c:v>
                </c:pt>
                <c:pt idx="22">
                  <c:v>4.3522999725666267</c:v>
                </c:pt>
                <c:pt idx="23">
                  <c:v>3.9058861254242125</c:v>
                </c:pt>
                <c:pt idx="24">
                  <c:v>3.5114617239447079</c:v>
                </c:pt>
                <c:pt idx="25">
                  <c:v>3.1619952689471589</c:v>
                </c:pt>
                <c:pt idx="26">
                  <c:v>2.8515704046767532</c:v>
                </c:pt>
                <c:pt idx="27">
                  <c:v>2.5751797137994763</c:v>
                </c:pt>
                <c:pt idx="28">
                  <c:v>2.3285622635708805</c:v>
                </c:pt>
                <c:pt idx="29">
                  <c:v>2.1080744536423981</c:v>
                </c:pt>
                <c:pt idx="30">
                  <c:v>1.9105864765148135</c:v>
                </c:pt>
                <c:pt idx="31">
                  <c:v>1.7333986671673156</c:v>
                </c:pt>
                <c:pt idx="32">
                  <c:v>1.5741734356082053</c:v>
                </c:pt>
                <c:pt idx="33">
                  <c:v>1.4308795099926397</c:v>
                </c:pt>
                <c:pt idx="34">
                  <c:v>1.3017459804683598</c:v>
                </c:pt>
                <c:pt idx="35">
                  <c:v>1.1852242020175152</c:v>
                </c:pt>
                <c:pt idx="36">
                  <c:v>1.0799560418657277</c:v>
                </c:pt>
                <c:pt idx="37">
                  <c:v>0.98474728129907751</c:v>
                </c:pt>
                <c:pt idx="38">
                  <c:v>0.8985452298742006</c:v>
                </c:pt>
                <c:pt idx="39">
                  <c:v>0.82041980139535198</c:v>
                </c:pt>
                <c:pt idx="40">
                  <c:v>0.74954744974358667</c:v>
                </c:pt>
                <c:pt idx="41">
                  <c:v>0.68519747900420236</c:v>
                </c:pt>
                <c:pt idx="42">
                  <c:v>0.62672033399026916</c:v>
                </c:pt>
                <c:pt idx="43">
                  <c:v>0.57353754990246653</c:v>
                </c:pt>
                <c:pt idx="44">
                  <c:v>0.52513309778362316</c:v>
                </c:pt>
                <c:pt idx="45">
                  <c:v>0.48104590886548682</c:v>
                </c:pt>
                <c:pt idx="46">
                  <c:v>0.44086339834003713</c:v>
                </c:pt>
                <c:pt idx="47">
                  <c:v>0.40421583941796024</c:v>
                </c:pt>
                <c:pt idx="48">
                  <c:v>0.37077146323033933</c:v>
                </c:pt>
                <c:pt idx="49">
                  <c:v>0.34023218032688346</c:v>
                </c:pt>
                <c:pt idx="50">
                  <c:v>0.31232983611670323</c:v>
                </c:pt>
                <c:pt idx="51">
                  <c:v>0.28682292628653955</c:v>
                </c:pt>
                <c:pt idx="52">
                  <c:v>0.26349370957013046</c:v>
                </c:pt>
                <c:pt idx="53">
                  <c:v>0.24214566467073109</c:v>
                </c:pt>
                <c:pt idx="54">
                  <c:v>0.22260124600746428</c:v>
                </c:pt>
                <c:pt idx="55">
                  <c:v>0.20469989954639584</c:v>
                </c:pt>
                <c:pt idx="56">
                  <c:v>0.18829630551536294</c:v>
                </c:pt>
                <c:pt idx="57">
                  <c:v>0.17325881947072444</c:v>
                </c:pt>
                <c:pt idx="58">
                  <c:v>0.15946808713293562</c:v>
                </c:pt>
                <c:pt idx="59">
                  <c:v>0.1468158117573273</c:v>
                </c:pt>
                <c:pt idx="60">
                  <c:v>0.13520365565577278</c:v>
                </c:pt>
                <c:pt idx="61">
                  <c:v>0.1245422599154459</c:v>
                </c:pt>
                <c:pt idx="62">
                  <c:v>0.11475036843964448</c:v>
                </c:pt>
                <c:pt idx="63">
                  <c:v>0.10575404421812476</c:v>
                </c:pt>
                <c:pt idx="64">
                  <c:v>9.7485967266542448E-2</c:v>
                </c:pt>
                <c:pt idx="65">
                  <c:v>8.9884804994689732E-2</c:v>
                </c:pt>
                <c:pt idx="66">
                  <c:v>8.2894646903187513E-2</c:v>
                </c:pt>
                <c:pt idx="67">
                  <c:v>7.6464496494876799E-2</c:v>
                </c:pt>
                <c:pt idx="68">
                  <c:v>7.0547814142789281E-2</c:v>
                </c:pt>
                <c:pt idx="69">
                  <c:v>6.5102105400150698E-2</c:v>
                </c:pt>
                <c:pt idx="70">
                  <c:v>6.0088549885335699E-2</c:v>
                </c:pt>
                <c:pt idx="71">
                  <c:v>5.5471666439525384E-2</c:v>
                </c:pt>
                <c:pt idx="72">
                  <c:v>5.1219010748473077E-2</c:v>
                </c:pt>
                <c:pt idx="73">
                  <c:v>4.7300902051985477E-2</c:v>
                </c:pt>
                <c:pt idx="74">
                  <c:v>4.3690175943764668E-2</c:v>
                </c:pt>
                <c:pt idx="75">
                  <c:v>4.0361960597224016E-2</c:v>
                </c:pt>
                <c:pt idx="76">
                  <c:v>3.7293474045843523E-2</c:v>
                </c:pt>
                <c:pt idx="77">
                  <c:v>3.4463840404773266E-2</c:v>
                </c:pt>
                <c:pt idx="78">
                  <c:v>3.185392314820313E-2</c:v>
                </c:pt>
                <c:pt idx="79">
                  <c:v>2.9446173758337565E-2</c:v>
                </c:pt>
                <c:pt idx="80">
                  <c:v>2.7224494239978563E-2</c:v>
                </c:pt>
                <c:pt idx="81">
                  <c:v>2.5174112152597641E-2</c:v>
                </c:pt>
                <c:pt idx="82">
                  <c:v>2.3281466951860324E-2</c:v>
                </c:pt>
                <c:pt idx="83">
                  <c:v>2.153410655701609E-2</c:v>
                </c:pt>
                <c:pt idx="84">
                  <c:v>1.9920593171260586E-2</c:v>
                </c:pt>
                <c:pt idx="85">
                  <c:v>1.8430417480749441E-2</c:v>
                </c:pt>
                <c:pt idx="86">
                  <c:v>1.7053920445824156E-2</c:v>
                </c:pt>
                <c:pt idx="87">
                  <c:v>1.5782221976441232E-2</c:v>
                </c:pt>
                <c:pt idx="88">
                  <c:v>1.4607155853870612E-2</c:v>
                </c:pt>
                <c:pt idx="89">
                  <c:v>1.3521210323400576E-2</c:v>
                </c:pt>
                <c:pt idx="90">
                  <c:v>1.2517473838891876E-2</c:v>
                </c:pt>
                <c:pt idx="91">
                  <c:v>1.1589585490301283E-2</c:v>
                </c:pt>
                <c:pt idx="92">
                  <c:v>1.0731689690390489E-2</c:v>
                </c:pt>
                <c:pt idx="93">
                  <c:v>9.9383947373206782E-3</c:v>
                </c:pt>
                <c:pt idx="94">
                  <c:v>9.2047349062112614E-3</c:v>
                </c:pt>
                <c:pt idx="95">
                  <c:v>8.5261357554550585E-3</c:v>
                </c:pt>
                <c:pt idx="96">
                  <c:v>7.8983823630273797E-3</c:v>
                </c:pt>
                <c:pt idx="97">
                  <c:v>7.3175902345488774E-3</c:v>
                </c:pt>
                <c:pt idx="98">
                  <c:v>6.7801786487718145E-3</c:v>
                </c:pt>
                <c:pt idx="99">
                  <c:v>6.2828462277288825E-3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E7-4FF7-9139-D121CA80D1F7}"/>
            </c:ext>
          </c:extLst>
        </c:ser>
        <c:ser>
          <c:idx val="1"/>
          <c:order val="1"/>
          <c:tx>
            <c:v>Informed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Calc_Area!$E$1139:$E$1238</c:f>
              <c:numCache>
                <c:formatCode>0.0E+00</c:formatCode>
                <c:ptCount val="100"/>
                <c:pt idx="0">
                  <c:v>6.619352724928611E-34</c:v>
                </c:pt>
                <c:pt idx="1">
                  <c:v>1.6842656689607707E-4</c:v>
                </c:pt>
                <c:pt idx="2">
                  <c:v>3.3685313379215414E-4</c:v>
                </c:pt>
                <c:pt idx="3">
                  <c:v>5.0527970068823115E-4</c:v>
                </c:pt>
                <c:pt idx="4">
                  <c:v>6.7370626758430827E-4</c:v>
                </c:pt>
                <c:pt idx="5">
                  <c:v>8.4213283448038539E-4</c:v>
                </c:pt>
                <c:pt idx="6">
                  <c:v>1.0105594013764625E-3</c:v>
                </c:pt>
                <c:pt idx="7">
                  <c:v>1.1789859682725396E-3</c:v>
                </c:pt>
                <c:pt idx="8">
                  <c:v>1.3474125351686168E-3</c:v>
                </c:pt>
                <c:pt idx="9">
                  <c:v>1.5158391020646939E-3</c:v>
                </c:pt>
                <c:pt idx="10">
                  <c:v>1.684265668960771E-3</c:v>
                </c:pt>
                <c:pt idx="11">
                  <c:v>1.8526922358568481E-3</c:v>
                </c:pt>
                <c:pt idx="12">
                  <c:v>2.021118802752925E-3</c:v>
                </c:pt>
                <c:pt idx="13">
                  <c:v>2.1895453696490022E-3</c:v>
                </c:pt>
                <c:pt idx="14">
                  <c:v>2.3579719365450793E-3</c:v>
                </c:pt>
                <c:pt idx="15">
                  <c:v>2.5263985034411564E-3</c:v>
                </c:pt>
                <c:pt idx="16">
                  <c:v>2.6948250703372335E-3</c:v>
                </c:pt>
                <c:pt idx="17">
                  <c:v>2.8632516372333106E-3</c:v>
                </c:pt>
                <c:pt idx="18">
                  <c:v>3.0316782041293878E-3</c:v>
                </c:pt>
                <c:pt idx="19">
                  <c:v>3.2001047710254649E-3</c:v>
                </c:pt>
                <c:pt idx="20">
                  <c:v>3.368531337921542E-3</c:v>
                </c:pt>
                <c:pt idx="21">
                  <c:v>3.5369579048176191E-3</c:v>
                </c:pt>
                <c:pt idx="22">
                  <c:v>3.7053844717136963E-3</c:v>
                </c:pt>
                <c:pt idx="23">
                  <c:v>3.8738110386097734E-3</c:v>
                </c:pt>
                <c:pt idx="24">
                  <c:v>4.0422376055058501E-3</c:v>
                </c:pt>
                <c:pt idx="25">
                  <c:v>4.2106641724019272E-3</c:v>
                </c:pt>
                <c:pt idx="26">
                  <c:v>4.3790907392980043E-3</c:v>
                </c:pt>
                <c:pt idx="27">
                  <c:v>4.5475173061940814E-3</c:v>
                </c:pt>
                <c:pt idx="28">
                  <c:v>4.7159438730901585E-3</c:v>
                </c:pt>
                <c:pt idx="29">
                  <c:v>4.8843704399862357E-3</c:v>
                </c:pt>
                <c:pt idx="30">
                  <c:v>5.0527970068823128E-3</c:v>
                </c:pt>
                <c:pt idx="31">
                  <c:v>5.2212235737783899E-3</c:v>
                </c:pt>
                <c:pt idx="32">
                  <c:v>5.389650140674467E-3</c:v>
                </c:pt>
                <c:pt idx="33">
                  <c:v>5.5580767075705442E-3</c:v>
                </c:pt>
                <c:pt idx="34">
                  <c:v>5.7265032744666213E-3</c:v>
                </c:pt>
                <c:pt idx="35">
                  <c:v>5.8949298413626984E-3</c:v>
                </c:pt>
                <c:pt idx="36">
                  <c:v>6.0633564082587755E-3</c:v>
                </c:pt>
                <c:pt idx="37">
                  <c:v>6.2317829751548526E-3</c:v>
                </c:pt>
                <c:pt idx="38">
                  <c:v>6.4002095420509298E-3</c:v>
                </c:pt>
                <c:pt idx="39">
                  <c:v>6.5686361089470069E-3</c:v>
                </c:pt>
                <c:pt idx="40">
                  <c:v>6.737062675843084E-3</c:v>
                </c:pt>
                <c:pt idx="41">
                  <c:v>6.9054892427391611E-3</c:v>
                </c:pt>
                <c:pt idx="42">
                  <c:v>7.0739158096352383E-3</c:v>
                </c:pt>
                <c:pt idx="43">
                  <c:v>7.2423423765313154E-3</c:v>
                </c:pt>
                <c:pt idx="44">
                  <c:v>7.4107689434273925E-3</c:v>
                </c:pt>
                <c:pt idx="45">
                  <c:v>7.5791955103234696E-3</c:v>
                </c:pt>
                <c:pt idx="46">
                  <c:v>7.7476220772195467E-3</c:v>
                </c:pt>
                <c:pt idx="47">
                  <c:v>7.9160486441156239E-3</c:v>
                </c:pt>
                <c:pt idx="48">
                  <c:v>8.0844752110117001E-3</c:v>
                </c:pt>
                <c:pt idx="49">
                  <c:v>8.2529017779077764E-3</c:v>
                </c:pt>
                <c:pt idx="50">
                  <c:v>8.4213283448038526E-3</c:v>
                </c:pt>
                <c:pt idx="51">
                  <c:v>8.5897549116999289E-3</c:v>
                </c:pt>
                <c:pt idx="52">
                  <c:v>8.7581814785960051E-3</c:v>
                </c:pt>
                <c:pt idx="53">
                  <c:v>8.9266080454920814E-3</c:v>
                </c:pt>
                <c:pt idx="54">
                  <c:v>9.0950346123881576E-3</c:v>
                </c:pt>
                <c:pt idx="55">
                  <c:v>9.2634611792842339E-3</c:v>
                </c:pt>
                <c:pt idx="56">
                  <c:v>9.4318877461803102E-3</c:v>
                </c:pt>
                <c:pt idx="57">
                  <c:v>9.6003143130763864E-3</c:v>
                </c:pt>
                <c:pt idx="58">
                  <c:v>9.7687408799724627E-3</c:v>
                </c:pt>
                <c:pt idx="59">
                  <c:v>9.9371674468685389E-3</c:v>
                </c:pt>
                <c:pt idx="60">
                  <c:v>1.0105594013764615E-2</c:v>
                </c:pt>
                <c:pt idx="61">
                  <c:v>1.0274020580660691E-2</c:v>
                </c:pt>
                <c:pt idx="62">
                  <c:v>1.0442447147556768E-2</c:v>
                </c:pt>
                <c:pt idx="63">
                  <c:v>1.0610873714452844E-2</c:v>
                </c:pt>
                <c:pt idx="64">
                  <c:v>1.077930028134892E-2</c:v>
                </c:pt>
                <c:pt idx="65">
                  <c:v>1.0947726848244996E-2</c:v>
                </c:pt>
                <c:pt idx="66">
                  <c:v>1.1116153415141073E-2</c:v>
                </c:pt>
                <c:pt idx="67">
                  <c:v>1.1284579982037149E-2</c:v>
                </c:pt>
                <c:pt idx="68">
                  <c:v>1.1453006548933225E-2</c:v>
                </c:pt>
                <c:pt idx="69">
                  <c:v>1.1621433115829301E-2</c:v>
                </c:pt>
                <c:pt idx="70">
                  <c:v>1.1789859682725378E-2</c:v>
                </c:pt>
                <c:pt idx="71">
                  <c:v>1.1958286249621454E-2</c:v>
                </c:pt>
                <c:pt idx="72">
                  <c:v>1.212671281651753E-2</c:v>
                </c:pt>
                <c:pt idx="73">
                  <c:v>1.2295139383413606E-2</c:v>
                </c:pt>
                <c:pt idx="74">
                  <c:v>1.2463565950309683E-2</c:v>
                </c:pt>
                <c:pt idx="75">
                  <c:v>1.2631992517205759E-2</c:v>
                </c:pt>
                <c:pt idx="76">
                  <c:v>1.2800419084101835E-2</c:v>
                </c:pt>
                <c:pt idx="77">
                  <c:v>1.2968845650997912E-2</c:v>
                </c:pt>
                <c:pt idx="78">
                  <c:v>1.3137272217893988E-2</c:v>
                </c:pt>
                <c:pt idx="79">
                  <c:v>1.3305698784790064E-2</c:v>
                </c:pt>
                <c:pt idx="80">
                  <c:v>1.347412535168614E-2</c:v>
                </c:pt>
                <c:pt idx="81">
                  <c:v>1.3642551918582217E-2</c:v>
                </c:pt>
                <c:pt idx="82">
                  <c:v>1.3810978485478293E-2</c:v>
                </c:pt>
                <c:pt idx="83">
                  <c:v>1.3979405052374369E-2</c:v>
                </c:pt>
                <c:pt idx="84">
                  <c:v>1.4147831619270445E-2</c:v>
                </c:pt>
                <c:pt idx="85">
                  <c:v>1.4316258186166522E-2</c:v>
                </c:pt>
                <c:pt idx="86">
                  <c:v>1.4484684753062598E-2</c:v>
                </c:pt>
                <c:pt idx="87">
                  <c:v>1.4653111319958674E-2</c:v>
                </c:pt>
                <c:pt idx="88">
                  <c:v>1.482153788685475E-2</c:v>
                </c:pt>
                <c:pt idx="89">
                  <c:v>1.4989964453750827E-2</c:v>
                </c:pt>
                <c:pt idx="90">
                  <c:v>1.5158391020646903E-2</c:v>
                </c:pt>
                <c:pt idx="91">
                  <c:v>1.5326817587542979E-2</c:v>
                </c:pt>
                <c:pt idx="92">
                  <c:v>1.5495244154439055E-2</c:v>
                </c:pt>
                <c:pt idx="93">
                  <c:v>1.5663670721335132E-2</c:v>
                </c:pt>
                <c:pt idx="94">
                  <c:v>1.583209728823121E-2</c:v>
                </c:pt>
                <c:pt idx="95">
                  <c:v>1.6000523855127288E-2</c:v>
                </c:pt>
                <c:pt idx="96">
                  <c:v>1.6168950422023366E-2</c:v>
                </c:pt>
                <c:pt idx="97">
                  <c:v>1.6337376988919444E-2</c:v>
                </c:pt>
                <c:pt idx="98">
                  <c:v>1.6505803555815522E-2</c:v>
                </c:pt>
                <c:pt idx="99">
                  <c:v>1.66742301227116E-2</c:v>
                </c:pt>
              </c:numCache>
            </c:numRef>
          </c:xVal>
          <c:yVal>
            <c:numRef>
              <c:f>Calc_Area!$G$1139:$G$1238</c:f>
              <c:numCache>
                <c:formatCode>General</c:formatCode>
                <c:ptCount val="100"/>
                <c:pt idx="0">
                  <c:v>2.3608915904751361E-153</c:v>
                </c:pt>
                <c:pt idx="1">
                  <c:v>1.9083316693520633E-4</c:v>
                </c:pt>
                <c:pt idx="2">
                  <c:v>5.5937943156900583E-3</c:v>
                </c:pt>
                <c:pt idx="3">
                  <c:v>3.8179763384093582E-2</c:v>
                </c:pt>
                <c:pt idx="4">
                  <c:v>0.14349174593535108</c:v>
                </c:pt>
                <c:pt idx="5">
                  <c:v>0.38889304534591862</c:v>
                </c:pt>
                <c:pt idx="6">
                  <c:v>0.85708017600074438</c:v>
                </c:pt>
                <c:pt idx="7">
                  <c:v>1.6376998648477645</c:v>
                </c:pt>
                <c:pt idx="8">
                  <c:v>2.8189211520292923</c:v>
                </c:pt>
                <c:pt idx="9">
                  <c:v>4.4800593901485746</c:v>
                </c:pt>
                <c:pt idx="10">
                  <c:v>6.6858091625864535</c:v>
                </c:pt>
                <c:pt idx="11">
                  <c:v>9.4822752290958885</c:v>
                </c:pt>
                <c:pt idx="12">
                  <c:v>12.894753382942769</c:v>
                </c:pt>
                <c:pt idx="13">
                  <c:v>16.927071860750697</c:v>
                </c:pt>
                <c:pt idx="14">
                  <c:v>21.562231005424469</c:v>
                </c:pt>
                <c:pt idx="15">
                  <c:v>26.764052870669065</c:v>
                </c:pt>
                <c:pt idx="16">
                  <c:v>32.479557265824752</c:v>
                </c:pt>
                <c:pt idx="17">
                  <c:v>38.64180450346953</c:v>
                </c:pt>
                <c:pt idx="18">
                  <c:v>45.172979289830515</c:v>
                </c:pt>
                <c:pt idx="19">
                  <c:v>51.987528815138091</c:v>
                </c:pt>
                <c:pt idx="20">
                  <c:v>58.995207126543839</c:v>
                </c:pt>
                <c:pt idx="21">
                  <c:v>66.103914715738</c:v>
                </c:pt>
                <c:pt idx="22">
                  <c:v>73.222255399357593</c:v>
                </c:pt>
                <c:pt idx="23">
                  <c:v>80.261761239762762</c:v>
                </c:pt>
                <c:pt idx="24">
                  <c:v>87.138760197761428</c:v>
                </c:pt>
                <c:pt idx="25">
                  <c:v>93.775880528255982</c:v>
                </c:pt>
                <c:pt idx="26">
                  <c:v>100.10320094632813</c:v>
                </c:pt>
                <c:pt idx="27">
                  <c:v>106.05906675353499</c:v>
                </c:pt>
                <c:pt idx="28">
                  <c:v>111.59059993049004</c:v>
                </c:pt>
                <c:pt idx="29">
                  <c:v>116.65393619385851</c:v>
                </c:pt>
                <c:pt idx="30">
                  <c:v>121.21422468785515</c:v>
                </c:pt>
                <c:pt idx="31">
                  <c:v>125.2454267994144</c:v>
                </c:pt>
                <c:pt idx="32">
                  <c:v>128.72994997172913</c:v>
                </c:pt>
                <c:pt idx="33">
                  <c:v>131.65815070924168</c:v>
                </c:pt>
                <c:pt idx="34">
                  <c:v>134.02773853113976</c:v>
                </c:pt>
                <c:pt idx="35">
                  <c:v>135.8431097009553</c:v>
                </c:pt>
                <c:pt idx="36">
                  <c:v>137.11463634992805</c:v>
                </c:pt>
                <c:pt idx="37">
                  <c:v>137.85793329104808</c:v>
                </c:pt>
                <c:pt idx="38">
                  <c:v>138.09312152062049</c:v>
                </c:pt>
                <c:pt idx="39">
                  <c:v>137.84410422340437</c:v>
                </c:pt>
                <c:pt idx="40">
                  <c:v>137.13786810661611</c:v>
                </c:pt>
                <c:pt idx="41">
                  <c:v>136.00382013497924</c:v>
                </c:pt>
                <c:pt idx="42">
                  <c:v>134.47316725233682</c:v>
                </c:pt>
                <c:pt idx="43">
                  <c:v>132.57834446888018</c:v>
                </c:pt>
                <c:pt idx="44">
                  <c:v>130.35249476883223</c:v>
                </c:pt>
                <c:pt idx="45">
                  <c:v>127.82900264464098</c:v>
                </c:pt>
                <c:pt idx="46">
                  <c:v>125.04108167709234</c:v>
                </c:pt>
                <c:pt idx="47">
                  <c:v>122.0214154384724</c:v>
                </c:pt>
                <c:pt idx="48">
                  <c:v>118.80185007735369</c:v>
                </c:pt>
                <c:pt idx="49">
                  <c:v>115.41313622654904</c:v>
                </c:pt>
                <c:pt idx="50">
                  <c:v>111.88471733751416</c:v>
                </c:pt>
                <c:pt idx="51">
                  <c:v>108.24456116247214</c:v>
                </c:pt>
                <c:pt idx="52">
                  <c:v>104.51903085806266</c:v>
                </c:pt>
                <c:pt idx="53">
                  <c:v>100.73279205090692</c:v>
                </c:pt>
                <c:pt idx="54">
                  <c:v>96.908752167126906</c:v>
                </c:pt>
                <c:pt idx="55">
                  <c:v>93.068028367245546</c:v>
                </c:pt>
                <c:pt idx="56">
                  <c:v>89.229940529428589</c:v>
                </c:pt>
                <c:pt idx="57">
                  <c:v>85.412025873884531</c:v>
                </c:pt>
                <c:pt idx="58">
                  <c:v>81.630072007292739</c:v>
                </c:pt>
                <c:pt idx="59">
                  <c:v>77.898165377906949</c:v>
                </c:pt>
                <c:pt idx="60">
                  <c:v>74.228752360539985</c:v>
                </c:pt>
                <c:pt idx="61">
                  <c:v>70.632710428454317</c:v>
                </c:pt>
                <c:pt idx="62">
                  <c:v>67.119427110037307</c:v>
                </c:pt>
                <c:pt idx="63">
                  <c:v>63.696884666960791</c:v>
                </c:pt>
                <c:pt idx="64">
                  <c:v>60.371748663282347</c:v>
                </c:pt>
                <c:pt idx="65">
                  <c:v>57.149458818512542</c:v>
                </c:pt>
                <c:pt idx="66">
                  <c:v>54.034320749707653</c:v>
                </c:pt>
                <c:pt idx="67">
                  <c:v>51.029597406489273</c:v>
                </c:pt>
                <c:pt idx="68">
                  <c:v>48.137599187445645</c:v>
                </c:pt>
                <c:pt idx="69">
                  <c:v>45.359771896018742</c:v>
                </c:pt>
                <c:pt idx="70">
                  <c:v>42.696781848512153</c:v>
                </c:pt>
                <c:pt idx="71">
                  <c:v>40.148597586355741</c:v>
                </c:pt>
                <c:pt idx="72">
                  <c:v>37.71456776959986</c:v>
                </c:pt>
                <c:pt idx="73">
                  <c:v>35.393494939318856</c:v>
                </c:pt>
                <c:pt idx="74">
                  <c:v>33.183704933887753</c:v>
                </c:pt>
                <c:pt idx="75">
                  <c:v>31.083111828748628</c:v>
                </c:pt>
                <c:pt idx="76">
                  <c:v>29.089278342178453</c:v>
                </c:pt>
                <c:pt idx="77">
                  <c:v>27.199471711610613</c:v>
                </c:pt>
                <c:pt idx="78">
                  <c:v>25.410715097176467</c:v>
                </c:pt>
                <c:pt idx="79">
                  <c:v>23.719834612235438</c:v>
                </c:pt>
                <c:pt idx="80">
                  <c:v>22.123502115652322</c:v>
                </c:pt>
                <c:pt idx="81">
                  <c:v>20.618273928326875</c:v>
                </c:pt>
                <c:pt idx="82">
                  <c:v>19.200625657803865</c:v>
                </c:pt>
                <c:pt idx="83">
                  <c:v>17.866983330476291</c:v>
                </c:pt>
                <c:pt idx="84">
                  <c:v>16.613751041662567</c:v>
                </c:pt>
                <c:pt idx="85">
                  <c:v>15.437335340361468</c:v>
                </c:pt>
                <c:pt idx="86">
                  <c:v>14.334166568389758</c:v>
                </c:pt>
                <c:pt idx="87">
                  <c:v>13.30071737344155</c:v>
                </c:pt>
                <c:pt idx="88">
                  <c:v>12.333518612890876</c:v>
                </c:pt>
                <c:pt idx="89">
                  <c:v>11.429172860341149</c:v>
                </c:pt>
                <c:pt idx="90">
                  <c:v>10.584365720418987</c:v>
                </c:pt>
                <c:pt idx="91">
                  <c:v>9.7958751494702874</c:v>
                </c:pt>
                <c:pt idx="92">
                  <c:v>9.0605789709664819</c:v>
                </c:pt>
                <c:pt idx="93">
                  <c:v>8.3754607648375394</c:v>
                </c:pt>
                <c:pt idx="94">
                  <c:v>7.7376142998598132</c:v>
                </c:pt>
                <c:pt idx="95">
                  <c:v>7.1442466678419265</c:v>
                </c:pt>
                <c:pt idx="96">
                  <c:v>6.5926802678456031</c:v>
                </c:pt>
                <c:pt idx="97">
                  <c:v>6.080353778194854</c:v>
                </c:pt>
                <c:pt idx="98">
                  <c:v>5.604822243688071</c:v>
                </c:pt>
                <c:pt idx="99">
                  <c:v>5.1637563953287806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E7-4FF7-9139-D121CA80D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45640"/>
        <c:axId val="567546032"/>
      </c:scatterChart>
      <c:valAx>
        <c:axId val="56754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567546032"/>
        <c:crosses val="autoZero"/>
        <c:crossBetween val="midCat"/>
      </c:valAx>
      <c:valAx>
        <c:axId val="56754603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567545640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Jeffreys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Jeffreys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Calc_Area!$H$1139:$H$1238</c:f>
              <c:numCache>
                <c:formatCode>0.0E+00</c:formatCode>
                <c:ptCount val="100"/>
                <c:pt idx="0" formatCode="0.00E+00">
                  <c:v>2.795718839029392E-3</c:v>
                </c:pt>
                <c:pt idx="1">
                  <c:v>3.1018452290026673E-3</c:v>
                </c:pt>
                <c:pt idx="2">
                  <c:v>3.4079716189759426E-3</c:v>
                </c:pt>
                <c:pt idx="3">
                  <c:v>3.714098008949218E-3</c:v>
                </c:pt>
                <c:pt idx="4">
                  <c:v>4.0202243989224933E-3</c:v>
                </c:pt>
                <c:pt idx="5">
                  <c:v>4.3263507888957687E-3</c:v>
                </c:pt>
                <c:pt idx="6">
                  <c:v>4.632477178869044E-3</c:v>
                </c:pt>
                <c:pt idx="7">
                  <c:v>4.9386035688423193E-3</c:v>
                </c:pt>
                <c:pt idx="8">
                  <c:v>5.2447299588155947E-3</c:v>
                </c:pt>
                <c:pt idx="9">
                  <c:v>5.55085634878887E-3</c:v>
                </c:pt>
                <c:pt idx="10">
                  <c:v>5.8569827387621454E-3</c:v>
                </c:pt>
                <c:pt idx="11">
                  <c:v>6.1631091287354207E-3</c:v>
                </c:pt>
                <c:pt idx="12">
                  <c:v>6.4692355187086961E-3</c:v>
                </c:pt>
                <c:pt idx="13">
                  <c:v>6.7753619086819714E-3</c:v>
                </c:pt>
                <c:pt idx="14">
                  <c:v>7.0814882986552467E-3</c:v>
                </c:pt>
                <c:pt idx="15">
                  <c:v>7.3876146886285221E-3</c:v>
                </c:pt>
                <c:pt idx="16">
                  <c:v>7.6937410786017974E-3</c:v>
                </c:pt>
                <c:pt idx="17">
                  <c:v>7.9998674685750736E-3</c:v>
                </c:pt>
                <c:pt idx="18">
                  <c:v>8.3059938585483498E-3</c:v>
                </c:pt>
                <c:pt idx="19">
                  <c:v>8.612120248521626E-3</c:v>
                </c:pt>
                <c:pt idx="20">
                  <c:v>8.9182466384949022E-3</c:v>
                </c:pt>
                <c:pt idx="21">
                  <c:v>9.2243730284681785E-3</c:v>
                </c:pt>
                <c:pt idx="22">
                  <c:v>9.5304994184414547E-3</c:v>
                </c:pt>
                <c:pt idx="23">
                  <c:v>9.8366258084147309E-3</c:v>
                </c:pt>
                <c:pt idx="24">
                  <c:v>1.0142752198388007E-2</c:v>
                </c:pt>
                <c:pt idx="25">
                  <c:v>1.0448878588361283E-2</c:v>
                </c:pt>
                <c:pt idx="26">
                  <c:v>1.0755004978334559E-2</c:v>
                </c:pt>
                <c:pt idx="27">
                  <c:v>1.1061131368307836E-2</c:v>
                </c:pt>
                <c:pt idx="28">
                  <c:v>1.1367257758281112E-2</c:v>
                </c:pt>
                <c:pt idx="29">
                  <c:v>1.1673384148254388E-2</c:v>
                </c:pt>
                <c:pt idx="30">
                  <c:v>1.1979510538227664E-2</c:v>
                </c:pt>
                <c:pt idx="31">
                  <c:v>1.2285636928200941E-2</c:v>
                </c:pt>
                <c:pt idx="32">
                  <c:v>1.2591763318174217E-2</c:v>
                </c:pt>
                <c:pt idx="33">
                  <c:v>1.2897889708147493E-2</c:v>
                </c:pt>
                <c:pt idx="34">
                  <c:v>1.3204016098120769E-2</c:v>
                </c:pt>
                <c:pt idx="35">
                  <c:v>1.3510142488094045E-2</c:v>
                </c:pt>
                <c:pt idx="36">
                  <c:v>1.3816268878067322E-2</c:v>
                </c:pt>
                <c:pt idx="37">
                  <c:v>1.4122395268040598E-2</c:v>
                </c:pt>
                <c:pt idx="38">
                  <c:v>1.4428521658013874E-2</c:v>
                </c:pt>
                <c:pt idx="39">
                  <c:v>1.473464804798715E-2</c:v>
                </c:pt>
                <c:pt idx="40">
                  <c:v>1.5040774437960426E-2</c:v>
                </c:pt>
                <c:pt idx="41">
                  <c:v>1.5346900827933703E-2</c:v>
                </c:pt>
                <c:pt idx="42">
                  <c:v>1.5653027217906977E-2</c:v>
                </c:pt>
                <c:pt idx="43">
                  <c:v>1.5959153607880253E-2</c:v>
                </c:pt>
                <c:pt idx="44">
                  <c:v>1.626527999785353E-2</c:v>
                </c:pt>
                <c:pt idx="45">
                  <c:v>1.6571406387826806E-2</c:v>
                </c:pt>
                <c:pt idx="46">
                  <c:v>1.6877532777800082E-2</c:v>
                </c:pt>
                <c:pt idx="47">
                  <c:v>1.7183659167773358E-2</c:v>
                </c:pt>
                <c:pt idx="48">
                  <c:v>1.7489785557746634E-2</c:v>
                </c:pt>
                <c:pt idx="49">
                  <c:v>1.7795911947719911E-2</c:v>
                </c:pt>
                <c:pt idx="50">
                  <c:v>1.8102038337693187E-2</c:v>
                </c:pt>
                <c:pt idx="51">
                  <c:v>1.8408164727666463E-2</c:v>
                </c:pt>
                <c:pt idx="52">
                  <c:v>1.8714291117639739E-2</c:v>
                </c:pt>
                <c:pt idx="53">
                  <c:v>1.9020417507613015E-2</c:v>
                </c:pt>
                <c:pt idx="54">
                  <c:v>1.9326543897586292E-2</c:v>
                </c:pt>
                <c:pt idx="55">
                  <c:v>1.9632670287559568E-2</c:v>
                </c:pt>
                <c:pt idx="56">
                  <c:v>1.9938796677532844E-2</c:v>
                </c:pt>
                <c:pt idx="57">
                  <c:v>2.024492306750612E-2</c:v>
                </c:pt>
                <c:pt idx="58">
                  <c:v>2.0551049457479396E-2</c:v>
                </c:pt>
                <c:pt idx="59">
                  <c:v>2.0857175847452673E-2</c:v>
                </c:pt>
                <c:pt idx="60">
                  <c:v>2.1163302237425949E-2</c:v>
                </c:pt>
                <c:pt idx="61">
                  <c:v>2.1469428627399225E-2</c:v>
                </c:pt>
                <c:pt idx="62">
                  <c:v>2.1775555017372501E-2</c:v>
                </c:pt>
                <c:pt idx="63">
                  <c:v>2.2081681407345777E-2</c:v>
                </c:pt>
                <c:pt idx="64">
                  <c:v>2.2387807797319054E-2</c:v>
                </c:pt>
                <c:pt idx="65">
                  <c:v>2.269393418729233E-2</c:v>
                </c:pt>
                <c:pt idx="66">
                  <c:v>2.3000060577265606E-2</c:v>
                </c:pt>
                <c:pt idx="67">
                  <c:v>2.3306186967238882E-2</c:v>
                </c:pt>
                <c:pt idx="68">
                  <c:v>2.3612313357212159E-2</c:v>
                </c:pt>
                <c:pt idx="69">
                  <c:v>2.3918439747185435E-2</c:v>
                </c:pt>
                <c:pt idx="70">
                  <c:v>2.4224566137158711E-2</c:v>
                </c:pt>
                <c:pt idx="71">
                  <c:v>2.4530692527131987E-2</c:v>
                </c:pt>
                <c:pt idx="72">
                  <c:v>2.4836818917105263E-2</c:v>
                </c:pt>
                <c:pt idx="73">
                  <c:v>2.514294530707854E-2</c:v>
                </c:pt>
                <c:pt idx="74">
                  <c:v>2.5449071697051816E-2</c:v>
                </c:pt>
                <c:pt idx="75">
                  <c:v>2.5755198087025092E-2</c:v>
                </c:pt>
                <c:pt idx="76">
                  <c:v>2.6061324476998368E-2</c:v>
                </c:pt>
                <c:pt idx="77">
                  <c:v>2.6367450866971644E-2</c:v>
                </c:pt>
                <c:pt idx="78">
                  <c:v>2.6673577256944921E-2</c:v>
                </c:pt>
                <c:pt idx="79">
                  <c:v>2.6979703646918197E-2</c:v>
                </c:pt>
                <c:pt idx="80">
                  <c:v>2.7285830036891473E-2</c:v>
                </c:pt>
                <c:pt idx="81">
                  <c:v>2.7591956426864749E-2</c:v>
                </c:pt>
                <c:pt idx="82">
                  <c:v>2.7898082816838025E-2</c:v>
                </c:pt>
                <c:pt idx="83">
                  <c:v>2.8204209206811302E-2</c:v>
                </c:pt>
                <c:pt idx="84">
                  <c:v>2.8510335596784578E-2</c:v>
                </c:pt>
                <c:pt idx="85">
                  <c:v>2.8816461986757854E-2</c:v>
                </c:pt>
                <c:pt idx="86">
                  <c:v>2.912258837673113E-2</c:v>
                </c:pt>
                <c:pt idx="87">
                  <c:v>2.9428714766704406E-2</c:v>
                </c:pt>
                <c:pt idx="88">
                  <c:v>2.9734841156677683E-2</c:v>
                </c:pt>
                <c:pt idx="89">
                  <c:v>3.0040967546650959E-2</c:v>
                </c:pt>
                <c:pt idx="90">
                  <c:v>3.0347093936624235E-2</c:v>
                </c:pt>
                <c:pt idx="91">
                  <c:v>3.0653220326597511E-2</c:v>
                </c:pt>
                <c:pt idx="92">
                  <c:v>3.0959346716570788E-2</c:v>
                </c:pt>
                <c:pt idx="93">
                  <c:v>3.126547310654406E-2</c:v>
                </c:pt>
                <c:pt idx="94">
                  <c:v>3.1571599496517333E-2</c:v>
                </c:pt>
                <c:pt idx="95">
                  <c:v>3.1877725886490606E-2</c:v>
                </c:pt>
                <c:pt idx="96">
                  <c:v>3.2183852276463878E-2</c:v>
                </c:pt>
                <c:pt idx="97">
                  <c:v>3.2489978666437151E-2</c:v>
                </c:pt>
                <c:pt idx="98">
                  <c:v>3.2796105056410424E-2</c:v>
                </c:pt>
                <c:pt idx="99">
                  <c:v>3.3102231446383697E-2</c:v>
                </c:pt>
              </c:numCache>
            </c:numRef>
          </c:xVal>
          <c:yVal>
            <c:numRef>
              <c:f>Calc_Area!$I$1139:$I$1238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16-41FF-8F8B-7FA5FC73406D}"/>
            </c:ext>
          </c:extLst>
        </c:ser>
        <c:ser>
          <c:idx val="1"/>
          <c:order val="1"/>
          <c:tx>
            <c:v>Jeffreys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Calc_Area!$H$1139:$H$1238</c:f>
              <c:numCache>
                <c:formatCode>0.0E+00</c:formatCode>
                <c:ptCount val="100"/>
                <c:pt idx="0" formatCode="0.00E+00">
                  <c:v>2.795718839029392E-3</c:v>
                </c:pt>
                <c:pt idx="1">
                  <c:v>3.1018452290026673E-3</c:v>
                </c:pt>
                <c:pt idx="2">
                  <c:v>3.4079716189759426E-3</c:v>
                </c:pt>
                <c:pt idx="3">
                  <c:v>3.714098008949218E-3</c:v>
                </c:pt>
                <c:pt idx="4">
                  <c:v>4.0202243989224933E-3</c:v>
                </c:pt>
                <c:pt idx="5">
                  <c:v>4.3263507888957687E-3</c:v>
                </c:pt>
                <c:pt idx="6">
                  <c:v>4.632477178869044E-3</c:v>
                </c:pt>
                <c:pt idx="7">
                  <c:v>4.9386035688423193E-3</c:v>
                </c:pt>
                <c:pt idx="8">
                  <c:v>5.2447299588155947E-3</c:v>
                </c:pt>
                <c:pt idx="9">
                  <c:v>5.55085634878887E-3</c:v>
                </c:pt>
                <c:pt idx="10">
                  <c:v>5.8569827387621454E-3</c:v>
                </c:pt>
                <c:pt idx="11">
                  <c:v>6.1631091287354207E-3</c:v>
                </c:pt>
                <c:pt idx="12">
                  <c:v>6.4692355187086961E-3</c:v>
                </c:pt>
                <c:pt idx="13">
                  <c:v>6.7753619086819714E-3</c:v>
                </c:pt>
                <c:pt idx="14">
                  <c:v>7.0814882986552467E-3</c:v>
                </c:pt>
                <c:pt idx="15">
                  <c:v>7.3876146886285221E-3</c:v>
                </c:pt>
                <c:pt idx="16">
                  <c:v>7.6937410786017974E-3</c:v>
                </c:pt>
                <c:pt idx="17">
                  <c:v>7.9998674685750736E-3</c:v>
                </c:pt>
                <c:pt idx="18">
                  <c:v>8.3059938585483498E-3</c:v>
                </c:pt>
                <c:pt idx="19">
                  <c:v>8.612120248521626E-3</c:v>
                </c:pt>
                <c:pt idx="20">
                  <c:v>8.9182466384949022E-3</c:v>
                </c:pt>
                <c:pt idx="21">
                  <c:v>9.2243730284681785E-3</c:v>
                </c:pt>
                <c:pt idx="22">
                  <c:v>9.5304994184414547E-3</c:v>
                </c:pt>
                <c:pt idx="23">
                  <c:v>9.8366258084147309E-3</c:v>
                </c:pt>
                <c:pt idx="24">
                  <c:v>1.0142752198388007E-2</c:v>
                </c:pt>
                <c:pt idx="25">
                  <c:v>1.0448878588361283E-2</c:v>
                </c:pt>
                <c:pt idx="26">
                  <c:v>1.0755004978334559E-2</c:v>
                </c:pt>
                <c:pt idx="27">
                  <c:v>1.1061131368307836E-2</c:v>
                </c:pt>
                <c:pt idx="28">
                  <c:v>1.1367257758281112E-2</c:v>
                </c:pt>
                <c:pt idx="29">
                  <c:v>1.1673384148254388E-2</c:v>
                </c:pt>
                <c:pt idx="30">
                  <c:v>1.1979510538227664E-2</c:v>
                </c:pt>
                <c:pt idx="31">
                  <c:v>1.2285636928200941E-2</c:v>
                </c:pt>
                <c:pt idx="32">
                  <c:v>1.2591763318174217E-2</c:v>
                </c:pt>
                <c:pt idx="33">
                  <c:v>1.2897889708147493E-2</c:v>
                </c:pt>
                <c:pt idx="34">
                  <c:v>1.3204016098120769E-2</c:v>
                </c:pt>
                <c:pt idx="35">
                  <c:v>1.3510142488094045E-2</c:v>
                </c:pt>
                <c:pt idx="36">
                  <c:v>1.3816268878067322E-2</c:v>
                </c:pt>
                <c:pt idx="37">
                  <c:v>1.4122395268040598E-2</c:v>
                </c:pt>
                <c:pt idx="38">
                  <c:v>1.4428521658013874E-2</c:v>
                </c:pt>
                <c:pt idx="39">
                  <c:v>1.473464804798715E-2</c:v>
                </c:pt>
                <c:pt idx="40">
                  <c:v>1.5040774437960426E-2</c:v>
                </c:pt>
                <c:pt idx="41">
                  <c:v>1.5346900827933703E-2</c:v>
                </c:pt>
                <c:pt idx="42">
                  <c:v>1.5653027217906977E-2</c:v>
                </c:pt>
                <c:pt idx="43">
                  <c:v>1.5959153607880253E-2</c:v>
                </c:pt>
                <c:pt idx="44">
                  <c:v>1.626527999785353E-2</c:v>
                </c:pt>
                <c:pt idx="45">
                  <c:v>1.6571406387826806E-2</c:v>
                </c:pt>
                <c:pt idx="46">
                  <c:v>1.6877532777800082E-2</c:v>
                </c:pt>
                <c:pt idx="47">
                  <c:v>1.7183659167773358E-2</c:v>
                </c:pt>
                <c:pt idx="48">
                  <c:v>1.7489785557746634E-2</c:v>
                </c:pt>
                <c:pt idx="49">
                  <c:v>1.7795911947719911E-2</c:v>
                </c:pt>
                <c:pt idx="50">
                  <c:v>1.8102038337693187E-2</c:v>
                </c:pt>
                <c:pt idx="51">
                  <c:v>1.8408164727666463E-2</c:v>
                </c:pt>
                <c:pt idx="52">
                  <c:v>1.8714291117639739E-2</c:v>
                </c:pt>
                <c:pt idx="53">
                  <c:v>1.9020417507613015E-2</c:v>
                </c:pt>
                <c:pt idx="54">
                  <c:v>1.9326543897586292E-2</c:v>
                </c:pt>
                <c:pt idx="55">
                  <c:v>1.9632670287559568E-2</c:v>
                </c:pt>
                <c:pt idx="56">
                  <c:v>1.9938796677532844E-2</c:v>
                </c:pt>
                <c:pt idx="57">
                  <c:v>2.024492306750612E-2</c:v>
                </c:pt>
                <c:pt idx="58">
                  <c:v>2.0551049457479396E-2</c:v>
                </c:pt>
                <c:pt idx="59">
                  <c:v>2.0857175847452673E-2</c:v>
                </c:pt>
                <c:pt idx="60">
                  <c:v>2.1163302237425949E-2</c:v>
                </c:pt>
                <c:pt idx="61">
                  <c:v>2.1469428627399225E-2</c:v>
                </c:pt>
                <c:pt idx="62">
                  <c:v>2.1775555017372501E-2</c:v>
                </c:pt>
                <c:pt idx="63">
                  <c:v>2.2081681407345777E-2</c:v>
                </c:pt>
                <c:pt idx="64">
                  <c:v>2.2387807797319054E-2</c:v>
                </c:pt>
                <c:pt idx="65">
                  <c:v>2.269393418729233E-2</c:v>
                </c:pt>
                <c:pt idx="66">
                  <c:v>2.3000060577265606E-2</c:v>
                </c:pt>
                <c:pt idx="67">
                  <c:v>2.3306186967238882E-2</c:v>
                </c:pt>
                <c:pt idx="68">
                  <c:v>2.3612313357212159E-2</c:v>
                </c:pt>
                <c:pt idx="69">
                  <c:v>2.3918439747185435E-2</c:v>
                </c:pt>
                <c:pt idx="70">
                  <c:v>2.4224566137158711E-2</c:v>
                </c:pt>
                <c:pt idx="71">
                  <c:v>2.4530692527131987E-2</c:v>
                </c:pt>
                <c:pt idx="72">
                  <c:v>2.4836818917105263E-2</c:v>
                </c:pt>
                <c:pt idx="73">
                  <c:v>2.514294530707854E-2</c:v>
                </c:pt>
                <c:pt idx="74">
                  <c:v>2.5449071697051816E-2</c:v>
                </c:pt>
                <c:pt idx="75">
                  <c:v>2.5755198087025092E-2</c:v>
                </c:pt>
                <c:pt idx="76">
                  <c:v>2.6061324476998368E-2</c:v>
                </c:pt>
                <c:pt idx="77">
                  <c:v>2.6367450866971644E-2</c:v>
                </c:pt>
                <c:pt idx="78">
                  <c:v>2.6673577256944921E-2</c:v>
                </c:pt>
                <c:pt idx="79">
                  <c:v>2.6979703646918197E-2</c:v>
                </c:pt>
                <c:pt idx="80">
                  <c:v>2.7285830036891473E-2</c:v>
                </c:pt>
                <c:pt idx="81">
                  <c:v>2.7591956426864749E-2</c:v>
                </c:pt>
                <c:pt idx="82">
                  <c:v>2.7898082816838025E-2</c:v>
                </c:pt>
                <c:pt idx="83">
                  <c:v>2.8204209206811302E-2</c:v>
                </c:pt>
                <c:pt idx="84">
                  <c:v>2.8510335596784578E-2</c:v>
                </c:pt>
                <c:pt idx="85">
                  <c:v>2.8816461986757854E-2</c:v>
                </c:pt>
                <c:pt idx="86">
                  <c:v>2.912258837673113E-2</c:v>
                </c:pt>
                <c:pt idx="87">
                  <c:v>2.9428714766704406E-2</c:v>
                </c:pt>
                <c:pt idx="88">
                  <c:v>2.9734841156677683E-2</c:v>
                </c:pt>
                <c:pt idx="89">
                  <c:v>3.0040967546650959E-2</c:v>
                </c:pt>
                <c:pt idx="90">
                  <c:v>3.0347093936624235E-2</c:v>
                </c:pt>
                <c:pt idx="91">
                  <c:v>3.0653220326597511E-2</c:v>
                </c:pt>
                <c:pt idx="92">
                  <c:v>3.0959346716570788E-2</c:v>
                </c:pt>
                <c:pt idx="93">
                  <c:v>3.126547310654406E-2</c:v>
                </c:pt>
                <c:pt idx="94">
                  <c:v>3.1571599496517333E-2</c:v>
                </c:pt>
                <c:pt idx="95">
                  <c:v>3.1877725886490606E-2</c:v>
                </c:pt>
                <c:pt idx="96">
                  <c:v>3.2183852276463878E-2</c:v>
                </c:pt>
                <c:pt idx="97">
                  <c:v>3.2489978666437151E-2</c:v>
                </c:pt>
                <c:pt idx="98">
                  <c:v>3.2796105056410424E-2</c:v>
                </c:pt>
                <c:pt idx="99">
                  <c:v>3.3102231446383697E-2</c:v>
                </c:pt>
              </c:numCache>
            </c:numRef>
          </c:xVal>
          <c:yVal>
            <c:numRef>
              <c:f>Calc_Area!$J$1139:$J$1238</c:f>
              <c:numCache>
                <c:formatCode>General</c:formatCode>
                <c:ptCount val="100"/>
                <c:pt idx="0">
                  <c:v>1.8140443039110699</c:v>
                </c:pt>
                <c:pt idx="1">
                  <c:v>2.7016758536590189</c:v>
                </c:pt>
                <c:pt idx="2">
                  <c:v>3.8314632297573392</c:v>
                </c:pt>
                <c:pt idx="3">
                  <c:v>5.2179968157736294</c:v>
                </c:pt>
                <c:pt idx="4">
                  <c:v>6.8681643760646045</c:v>
                </c:pt>
                <c:pt idx="5">
                  <c:v>8.7811228015821481</c:v>
                </c:pt>
                <c:pt idx="6">
                  <c:v>10.948636536317922</c:v>
                </c:pt>
                <c:pt idx="7">
                  <c:v>13.35569894346019</c:v>
                </c:pt>
                <c:pt idx="8">
                  <c:v>15.981356778292604</c:v>
                </c:pt>
                <c:pt idx="9">
                  <c:v>18.799665561354228</c:v>
                </c:pt>
                <c:pt idx="10">
                  <c:v>21.780713257316297</c:v>
                </c:pt>
                <c:pt idx="11">
                  <c:v>24.891660043957582</c:v>
                </c:pt>
                <c:pt idx="12">
                  <c:v>28.097752272342703</c:v>
                </c:pt>
                <c:pt idx="13">
                  <c:v>31.363278435599739</c:v>
                </c:pt>
                <c:pt idx="14">
                  <c:v>34.652443755742802</c:v>
                </c:pt>
                <c:pt idx="15">
                  <c:v>37.930147697137407</c:v>
                </c:pt>
                <c:pt idx="16">
                  <c:v>41.162655262500934</c:v>
                </c:pt>
                <c:pt idx="17">
                  <c:v>44.318158338919105</c:v>
                </c:pt>
                <c:pt idx="18">
                  <c:v>47.367227702500294</c:v>
                </c:pt>
                <c:pt idx="19">
                  <c:v>50.283159656075171</c:v>
                </c:pt>
                <c:pt idx="20">
                  <c:v>53.042223775615398</c:v>
                </c:pt>
                <c:pt idx="21">
                  <c:v>55.623819994358144</c:v>
                </c:pt>
                <c:pt idx="22">
                  <c:v>58.010554374309329</c:v>
                </c:pt>
                <c:pt idx="23">
                  <c:v>60.188243512330416</c:v>
                </c:pt>
                <c:pt idx="24">
                  <c:v>62.145857703143648</c:v>
                </c:pt>
                <c:pt idx="25">
                  <c:v>63.875412824746242</c:v>
                </c:pt>
                <c:pt idx="26">
                  <c:v>65.371820502381112</c:v>
                </c:pt>
                <c:pt idx="27">
                  <c:v>66.632705513847696</c:v>
                </c:pt>
                <c:pt idx="28">
                  <c:v>67.658198679513902</c:v>
                </c:pt>
                <c:pt idx="29">
                  <c:v>68.450712683035647</c:v>
                </c:pt>
                <c:pt idx="30">
                  <c:v>69.014707432722673</c:v>
                </c:pt>
                <c:pt idx="31">
                  <c:v>69.35645072995483</c:v>
                </c:pt>
                <c:pt idx="32">
                  <c:v>69.483779184335575</c:v>
                </c:pt>
                <c:pt idx="33">
                  <c:v>69.405863523643177</c:v>
                </c:pt>
                <c:pt idx="34">
                  <c:v>69.132981703275831</c:v>
                </c:pt>
                <c:pt idx="35">
                  <c:v>68.676302533699968</c:v>
                </c:pt>
                <c:pt idx="36">
                  <c:v>68.047681920807292</c:v>
                </c:pt>
                <c:pt idx="37">
                  <c:v>67.25947325564799</c:v>
                </c:pt>
                <c:pt idx="38">
                  <c:v>66.32435299707177</c:v>
                </c:pt>
                <c:pt idx="39">
                  <c:v>65.255162061989182</c:v>
                </c:pt>
                <c:pt idx="40">
                  <c:v>64.064763270574304</c:v>
                </c:pt>
                <c:pt idx="41">
                  <c:v>62.765914784154944</c:v>
                </c:pt>
                <c:pt idx="42">
                  <c:v>61.371159217535023</c:v>
                </c:pt>
                <c:pt idx="43">
                  <c:v>59.892727900446246</c:v>
                </c:pt>
                <c:pt idx="44">
                  <c:v>58.342459599932546</c:v>
                </c:pt>
                <c:pt idx="45">
                  <c:v>56.731732891908052</c:v>
                </c:pt>
                <c:pt idx="46">
                  <c:v>55.071411281174406</c:v>
                </c:pt>
                <c:pt idx="47">
                  <c:v>53.371800110299461</c:v>
                </c:pt>
                <c:pt idx="48">
                  <c:v>51.642614264667841</c:v>
                </c:pt>
                <c:pt idx="49">
                  <c:v>49.892955669729098</c:v>
                </c:pt>
                <c:pt idx="50">
                  <c:v>48.131299583337331</c:v>
                </c:pt>
                <c:pt idx="51">
                  <c:v>46.365488707772684</c:v>
                </c:pt>
                <c:pt idx="52">
                  <c:v>44.602734179586228</c:v>
                </c:pt>
                <c:pt idx="53">
                  <c:v>42.849622538165569</c:v>
                </c:pt>
                <c:pt idx="54">
                  <c:v>41.112127823559867</c:v>
                </c:pt>
                <c:pt idx="55">
                  <c:v>39.395628008608178</c:v>
                </c:pt>
                <c:pt idx="56">
                  <c:v>37.704925028052727</c:v>
                </c:pt>
                <c:pt idx="57">
                  <c:v>36.044267726617356</c:v>
                </c:pt>
                <c:pt idx="58">
                  <c:v>34.417377107759251</c:v>
                </c:pt>
                <c:pt idx="59">
                  <c:v>32.827473323945959</c:v>
                </c:pt>
                <c:pt idx="60">
                  <c:v>31.277303907048442</c:v>
                </c:pt>
                <c:pt idx="61">
                  <c:v>29.76917279312412</c:v>
                </c:pt>
                <c:pt idx="62">
                  <c:v>28.30496974899749</c:v>
                </c:pt>
                <c:pt idx="63">
                  <c:v>26.886199858256461</c:v>
                </c:pt>
                <c:pt idx="64">
                  <c:v>25.514012771320008</c:v>
                </c:pt>
                <c:pt idx="65">
                  <c:v>24.189231467937621</c:v>
                </c:pt>
                <c:pt idx="66">
                  <c:v>22.912380320771721</c:v>
                </c:pt>
                <c:pt idx="67">
                  <c:v>21.683712285584139</c:v>
                </c:pt>
                <c:pt idx="68">
                  <c:v>20.503235077036766</c:v>
                </c:pt>
                <c:pt idx="69">
                  <c:v>19.370736219312626</c:v>
                </c:pt>
                <c:pt idx="70">
                  <c:v>18.285806887789953</c:v>
                </c:pt>
                <c:pt idx="71">
                  <c:v>17.247864482003965</c:v>
                </c:pt>
                <c:pt idx="72">
                  <c:v>16.256173891275402</c:v>
                </c:pt>
                <c:pt idx="73">
                  <c:v>15.309867432854373</c:v>
                </c:pt>
                <c:pt idx="74">
                  <c:v>14.407963458404174</c:v>
                </c:pt>
                <c:pt idx="75">
                  <c:v>13.549383638328951</c:v>
                </c:pt>
                <c:pt idx="76">
                  <c:v>12.7329689450175</c:v>
                </c:pt>
                <c:pt idx="77">
                  <c:v>11.957494365722988</c:v>
                </c:pt>
                <c:pt idx="78">
                  <c:v>11.22168238370773</c:v>
                </c:pt>
                <c:pt idx="79">
                  <c:v>10.524215272625984</c:v>
                </c:pt>
                <c:pt idx="80">
                  <c:v>9.8637462540671912</c:v>
                </c:pt>
                <c:pt idx="81">
                  <c:v>9.2389095718910959</c:v>
                </c:pt>
                <c:pt idx="82">
                  <c:v>8.6483295396055109</c:v>
                </c:pt>
                <c:pt idx="83">
                  <c:v>8.0906286187032155</c:v>
                </c:pt>
                <c:pt idx="84">
                  <c:v>7.5644345867143485</c:v>
                </c:pt>
                <c:pt idx="85">
                  <c:v>7.0683868538617949</c:v>
                </c:pt>
                <c:pt idx="86">
                  <c:v>6.6011419867357972</c:v>
                </c:pt>
                <c:pt idx="87">
                  <c:v>6.1613784964271368</c:v>
                </c:pt>
                <c:pt idx="88">
                  <c:v>5.7478009471638254</c:v>
                </c:pt>
                <c:pt idx="89">
                  <c:v>5.3591434397613975</c:v>
                </c:pt>
                <c:pt idx="90">
                  <c:v>4.994172522193014</c:v>
                </c:pt>
                <c:pt idx="91">
                  <c:v>4.6516895773727374</c:v>
                </c:pt>
                <c:pt idx="92">
                  <c:v>4.3305327358796957</c:v>
                </c:pt>
                <c:pt idx="93">
                  <c:v>4.0295783588783811</c:v>
                </c:pt>
                <c:pt idx="94">
                  <c:v>3.7477421339536585</c:v>
                </c:pt>
                <c:pt idx="95">
                  <c:v>3.4839798240124464</c:v>
                </c:pt>
                <c:pt idx="96">
                  <c:v>3.2372877068383215</c:v>
                </c:pt>
                <c:pt idx="97">
                  <c:v>3.0067027403460034</c:v>
                </c:pt>
                <c:pt idx="98">
                  <c:v>2.791302486090415</c:v>
                </c:pt>
                <c:pt idx="99">
                  <c:v>2.5902048211577462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16-41FF-8F8B-7FA5FC734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46816"/>
        <c:axId val="567547296"/>
      </c:scatterChart>
      <c:valAx>
        <c:axId val="5675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567547296"/>
        <c:crosses val="autoZero"/>
        <c:crossBetween val="midCat"/>
      </c:valAx>
      <c:valAx>
        <c:axId val="567547296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567546816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46867294997216"/>
          <c:y val="5.0011349932609792E-2"/>
          <c:w val="0.78105986041517528"/>
          <c:h val="0.7793956160885362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Calc_Area!$E$108:$E$207</c:f>
              <c:numCache>
                <c:formatCode>0.0E+00</c:formatCode>
                <c:ptCount val="100"/>
                <c:pt idx="0">
                  <c:v>1.2505472170427321E-4</c:v>
                </c:pt>
                <c:pt idx="1">
                  <c:v>5.9652410030145101E-3</c:v>
                </c:pt>
                <c:pt idx="2">
                  <c:v>1.1805427284324748E-2</c:v>
                </c:pt>
                <c:pt idx="3">
                  <c:v>1.7645613565634984E-2</c:v>
                </c:pt>
                <c:pt idx="4">
                  <c:v>2.348579984694522E-2</c:v>
                </c:pt>
                <c:pt idx="5">
                  <c:v>2.9325986128255457E-2</c:v>
                </c:pt>
                <c:pt idx="6">
                  <c:v>3.5166172409565696E-2</c:v>
                </c:pt>
                <c:pt idx="7">
                  <c:v>4.1006358690875933E-2</c:v>
                </c:pt>
                <c:pt idx="8">
                  <c:v>4.6846544972186169E-2</c:v>
                </c:pt>
                <c:pt idx="9">
                  <c:v>5.2686731253496405E-2</c:v>
                </c:pt>
                <c:pt idx="10">
                  <c:v>5.8526917534806641E-2</c:v>
                </c:pt>
                <c:pt idx="11">
                  <c:v>6.4367103816116877E-2</c:v>
                </c:pt>
                <c:pt idx="12">
                  <c:v>7.0207290097427114E-2</c:v>
                </c:pt>
                <c:pt idx="13">
                  <c:v>7.604747637873735E-2</c:v>
                </c:pt>
                <c:pt idx="14">
                  <c:v>8.1887662660047586E-2</c:v>
                </c:pt>
                <c:pt idx="15">
                  <c:v>8.7727848941357822E-2</c:v>
                </c:pt>
                <c:pt idx="16">
                  <c:v>9.3568035222668058E-2</c:v>
                </c:pt>
                <c:pt idx="17">
                  <c:v>9.9408221503978295E-2</c:v>
                </c:pt>
                <c:pt idx="18">
                  <c:v>0.10524840778528853</c:v>
                </c:pt>
                <c:pt idx="19">
                  <c:v>0.11108859406659877</c:v>
                </c:pt>
                <c:pt idx="20">
                  <c:v>0.116928780347909</c:v>
                </c:pt>
                <c:pt idx="21">
                  <c:v>0.12276896662921924</c:v>
                </c:pt>
                <c:pt idx="22">
                  <c:v>0.12860915291052949</c:v>
                </c:pt>
                <c:pt idx="23">
                  <c:v>0.13444933919183974</c:v>
                </c:pt>
                <c:pt idx="24">
                  <c:v>0.14028952547314999</c:v>
                </c:pt>
                <c:pt idx="25">
                  <c:v>0.14612971175446024</c:v>
                </c:pt>
                <c:pt idx="26">
                  <c:v>0.15196989803577049</c:v>
                </c:pt>
                <c:pt idx="27">
                  <c:v>0.15781008431708074</c:v>
                </c:pt>
                <c:pt idx="28">
                  <c:v>0.16365027059839099</c:v>
                </c:pt>
                <c:pt idx="29">
                  <c:v>0.16949045687970124</c:v>
                </c:pt>
                <c:pt idx="30">
                  <c:v>0.17533064316101149</c:v>
                </c:pt>
                <c:pt idx="31">
                  <c:v>0.18117082944232174</c:v>
                </c:pt>
                <c:pt idx="32">
                  <c:v>0.18701101572363199</c:v>
                </c:pt>
                <c:pt idx="33">
                  <c:v>0.19285120200494224</c:v>
                </c:pt>
                <c:pt idx="34">
                  <c:v>0.19869138828625249</c:v>
                </c:pt>
                <c:pt idx="35">
                  <c:v>0.20453157456756274</c:v>
                </c:pt>
                <c:pt idx="36">
                  <c:v>0.21037176084887299</c:v>
                </c:pt>
                <c:pt idx="37">
                  <c:v>0.21621194713018324</c:v>
                </c:pt>
                <c:pt idx="38">
                  <c:v>0.22205213341149349</c:v>
                </c:pt>
                <c:pt idx="39">
                  <c:v>0.22789231969280374</c:v>
                </c:pt>
                <c:pt idx="40">
                  <c:v>0.23373250597411399</c:v>
                </c:pt>
                <c:pt idx="41">
                  <c:v>0.23957269225542424</c:v>
                </c:pt>
                <c:pt idx="42">
                  <c:v>0.24541287853673449</c:v>
                </c:pt>
                <c:pt idx="43">
                  <c:v>0.25125306481804471</c:v>
                </c:pt>
                <c:pt idx="44">
                  <c:v>0.25709325109935494</c:v>
                </c:pt>
                <c:pt idx="45">
                  <c:v>0.26293343738066516</c:v>
                </c:pt>
                <c:pt idx="46">
                  <c:v>0.26877362366197538</c:v>
                </c:pt>
                <c:pt idx="47">
                  <c:v>0.2746138099432856</c:v>
                </c:pt>
                <c:pt idx="48">
                  <c:v>0.28045399622459583</c:v>
                </c:pt>
                <c:pt idx="49">
                  <c:v>0.28629418250590605</c:v>
                </c:pt>
                <c:pt idx="50">
                  <c:v>0.29213436878721627</c:v>
                </c:pt>
                <c:pt idx="51">
                  <c:v>0.29797455506852649</c:v>
                </c:pt>
                <c:pt idx="52">
                  <c:v>0.30381474134983671</c:v>
                </c:pt>
                <c:pt idx="53">
                  <c:v>0.30965492763114694</c:v>
                </c:pt>
                <c:pt idx="54">
                  <c:v>0.31549511391245716</c:v>
                </c:pt>
                <c:pt idx="55">
                  <c:v>0.32133530019376738</c:v>
                </c:pt>
                <c:pt idx="56">
                  <c:v>0.3271754864750776</c:v>
                </c:pt>
                <c:pt idx="57">
                  <c:v>0.33301567275638783</c:v>
                </c:pt>
                <c:pt idx="58">
                  <c:v>0.33885585903769805</c:v>
                </c:pt>
                <c:pt idx="59">
                  <c:v>0.34469604531900827</c:v>
                </c:pt>
                <c:pt idx="60">
                  <c:v>0.35053623160031849</c:v>
                </c:pt>
                <c:pt idx="61">
                  <c:v>0.35637641788162872</c:v>
                </c:pt>
                <c:pt idx="62">
                  <c:v>0.36221660416293894</c:v>
                </c:pt>
                <c:pt idx="63">
                  <c:v>0.36805679044424916</c:v>
                </c:pt>
                <c:pt idx="64">
                  <c:v>0.37389697672555938</c:v>
                </c:pt>
                <c:pt idx="65">
                  <c:v>0.3797371630068696</c:v>
                </c:pt>
                <c:pt idx="66">
                  <c:v>0.38557734928817983</c:v>
                </c:pt>
                <c:pt idx="67">
                  <c:v>0.39141753556949005</c:v>
                </c:pt>
                <c:pt idx="68">
                  <c:v>0.39725772185080027</c:v>
                </c:pt>
                <c:pt idx="69">
                  <c:v>0.40309790813211049</c:v>
                </c:pt>
                <c:pt idx="70">
                  <c:v>0.40893809441342072</c:v>
                </c:pt>
                <c:pt idx="71">
                  <c:v>0.41477828069473094</c:v>
                </c:pt>
                <c:pt idx="72">
                  <c:v>0.42061846697604116</c:v>
                </c:pt>
                <c:pt idx="73">
                  <c:v>0.42645865325735138</c:v>
                </c:pt>
                <c:pt idx="74">
                  <c:v>0.43229883953866161</c:v>
                </c:pt>
                <c:pt idx="75">
                  <c:v>0.43813902581997183</c:v>
                </c:pt>
                <c:pt idx="76">
                  <c:v>0.44397921210128205</c:v>
                </c:pt>
                <c:pt idx="77">
                  <c:v>0.44981939838259227</c:v>
                </c:pt>
                <c:pt idx="78">
                  <c:v>0.45565958466390249</c:v>
                </c:pt>
                <c:pt idx="79">
                  <c:v>0.46149977094521272</c:v>
                </c:pt>
                <c:pt idx="80">
                  <c:v>0.46733995722652294</c:v>
                </c:pt>
                <c:pt idx="81">
                  <c:v>0.47318014350783316</c:v>
                </c:pt>
                <c:pt idx="82">
                  <c:v>0.47902032978914338</c:v>
                </c:pt>
                <c:pt idx="83">
                  <c:v>0.48486051607045361</c:v>
                </c:pt>
                <c:pt idx="84">
                  <c:v>0.49070070235176383</c:v>
                </c:pt>
                <c:pt idx="85">
                  <c:v>0.49654088863307405</c:v>
                </c:pt>
                <c:pt idx="86">
                  <c:v>0.50238107491438433</c:v>
                </c:pt>
                <c:pt idx="87">
                  <c:v>0.50822126119569455</c:v>
                </c:pt>
                <c:pt idx="88">
                  <c:v>0.51406144747700477</c:v>
                </c:pt>
                <c:pt idx="89">
                  <c:v>0.519901633758315</c:v>
                </c:pt>
                <c:pt idx="90">
                  <c:v>0.52574182003962522</c:v>
                </c:pt>
                <c:pt idx="91">
                  <c:v>0.53158200632093544</c:v>
                </c:pt>
                <c:pt idx="92">
                  <c:v>0.53742219260224566</c:v>
                </c:pt>
                <c:pt idx="93">
                  <c:v>0.54326237888355589</c:v>
                </c:pt>
                <c:pt idx="94">
                  <c:v>0.54910256516486611</c:v>
                </c:pt>
                <c:pt idx="95">
                  <c:v>0.55494275144617633</c:v>
                </c:pt>
                <c:pt idx="96">
                  <c:v>0.56078293772748655</c:v>
                </c:pt>
                <c:pt idx="97">
                  <c:v>0.56662312400879677</c:v>
                </c:pt>
                <c:pt idx="98">
                  <c:v>0.572463310290107</c:v>
                </c:pt>
                <c:pt idx="99">
                  <c:v>0.57830349657141722</c:v>
                </c:pt>
              </c:numCache>
            </c:numRef>
          </c:xVal>
          <c:yVal>
            <c:numRef>
              <c:f>Calc_Area!$G$108:$G$207</c:f>
              <c:numCache>
                <c:formatCode>General</c:formatCode>
                <c:ptCount val="100"/>
                <c:pt idx="0">
                  <c:v>7.9929995623358794</c:v>
                </c:pt>
                <c:pt idx="1">
                  <c:v>7.6718655509808666</c:v>
                </c:pt>
                <c:pt idx="2">
                  <c:v>7.3618546312877999</c:v>
                </c:pt>
                <c:pt idx="3">
                  <c:v>7.0626438738383328</c:v>
                </c:pt>
                <c:pt idx="4">
                  <c:v>6.7739178935086235</c:v>
                </c:pt>
                <c:pt idx="5">
                  <c:v>6.4953687165020417</c:v>
                </c:pt>
                <c:pt idx="6">
                  <c:v>6.2266956489534939</c:v>
                </c:pt>
                <c:pt idx="7">
                  <c:v>5.9676051470960223</c:v>
                </c:pt>
                <c:pt idx="8">
                  <c:v>5.7178106889803679</c:v>
                </c:pt>
                <c:pt idx="9">
                  <c:v>5.4770326477380813</c:v>
                </c:pt>
                <c:pt idx="10">
                  <c:v>5.2449981663789318</c:v>
                </c:pt>
                <c:pt idx="11">
                  <c:v>5.0214410341131943</c:v>
                </c:pt>
                <c:pt idx="12">
                  <c:v>4.8061015641895164</c:v>
                </c:pt>
                <c:pt idx="13">
                  <c:v>4.5987264732389992</c:v>
                </c:pt>
                <c:pt idx="14">
                  <c:v>4.3990687621161602</c:v>
                </c:pt>
                <c:pt idx="15">
                  <c:v>4.2068875982274134</c:v>
                </c:pt>
                <c:pt idx="16">
                  <c:v>4.0219481993377695</c:v>
                </c:pt>
                <c:pt idx="17">
                  <c:v>3.8440217188463617</c:v>
                </c:pt>
                <c:pt idx="18">
                  <c:v>3.6728851325214724</c:v>
                </c:pt>
                <c:pt idx="19">
                  <c:v>3.5083211266857335</c:v>
                </c:pt>
                <c:pt idx="20">
                  <c:v>3.3501179878421334</c:v>
                </c:pt>
                <c:pt idx="21">
                  <c:v>3.1980694937315102</c:v>
                </c:pt>
                <c:pt idx="22">
                  <c:v>3.0519748058121521</c:v>
                </c:pt>
                <c:pt idx="23">
                  <c:v>2.9116383631522109</c:v>
                </c:pt>
                <c:pt idx="24">
                  <c:v>2.7768697777255311</c:v>
                </c:pt>
                <c:pt idx="25">
                  <c:v>2.6474837311016017</c:v>
                </c:pt>
                <c:pt idx="26">
                  <c:v>2.5232998725202496</c:v>
                </c:pt>
                <c:pt idx="27">
                  <c:v>2.4041427183417481</c:v>
                </c:pt>
                <c:pt idx="28">
                  <c:v>2.2898415528630034</c:v>
                </c:pt>
                <c:pt idx="29">
                  <c:v>2.180230330490454</c:v>
                </c:pt>
                <c:pt idx="30">
                  <c:v>2.0751475792603511</c:v>
                </c:pt>
                <c:pt idx="31">
                  <c:v>1.9744363056971004</c:v>
                </c:pt>
                <c:pt idx="32">
                  <c:v>1.8779439010002676</c:v>
                </c:pt>
                <c:pt idx="33">
                  <c:v>1.7855220485509555</c:v>
                </c:pt>
                <c:pt idx="34">
                  <c:v>1.6970266327281864</c:v>
                </c:pt>
                <c:pt idx="35">
                  <c:v>1.6123176490259432</c:v>
                </c:pt>
                <c:pt idx="36">
                  <c:v>1.531259115461544</c:v>
                </c:pt>
                <c:pt idx="37">
                  <c:v>1.4537189852659758</c:v>
                </c:pt>
                <c:pt idx="38">
                  <c:v>1.3795690608468785</c:v>
                </c:pt>
                <c:pt idx="39">
                  <c:v>1.308684909014818</c:v>
                </c:pt>
                <c:pt idx="40">
                  <c:v>1.2409457774634995</c:v>
                </c:pt>
                <c:pt idx="41">
                  <c:v>1.1762345124945868</c:v>
                </c:pt>
                <c:pt idx="42">
                  <c:v>1.114437477977789</c:v>
                </c:pt>
                <c:pt idx="43">
                  <c:v>1.0554444755368582</c:v>
                </c:pt>
                <c:pt idx="44">
                  <c:v>0.99914866595216201</c:v>
                </c:pt>
                <c:pt idx="45">
                  <c:v>0.94544649177048534</c:v>
                </c:pt>
                <c:pt idx="46">
                  <c:v>0.89423760111272321</c:v>
                </c:pt>
                <c:pt idx="47">
                  <c:v>0.84542477267011296</c:v>
                </c:pt>
                <c:pt idx="48">
                  <c:v>0.79891384187966452</c:v>
                </c:pt>
                <c:pt idx="49">
                  <c:v>0.7546136282694561</c:v>
                </c:pt>
                <c:pt idx="50">
                  <c:v>0.71243586396442971</c:v>
                </c:pt>
                <c:pt idx="51">
                  <c:v>0.67229512334337016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A6-45E5-B4F5-C531E2873351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Calc_Area!$E$108:$E$207</c:f>
              <c:numCache>
                <c:formatCode>0.0E+00</c:formatCode>
                <c:ptCount val="100"/>
                <c:pt idx="0">
                  <c:v>1.2505472170427321E-4</c:v>
                </c:pt>
                <c:pt idx="1">
                  <c:v>5.9652410030145101E-3</c:v>
                </c:pt>
                <c:pt idx="2">
                  <c:v>1.1805427284324748E-2</c:v>
                </c:pt>
                <c:pt idx="3">
                  <c:v>1.7645613565634984E-2</c:v>
                </c:pt>
                <c:pt idx="4">
                  <c:v>2.348579984694522E-2</c:v>
                </c:pt>
                <c:pt idx="5">
                  <c:v>2.9325986128255457E-2</c:v>
                </c:pt>
                <c:pt idx="6">
                  <c:v>3.5166172409565696E-2</c:v>
                </c:pt>
                <c:pt idx="7">
                  <c:v>4.1006358690875933E-2</c:v>
                </c:pt>
                <c:pt idx="8">
                  <c:v>4.6846544972186169E-2</c:v>
                </c:pt>
                <c:pt idx="9">
                  <c:v>5.2686731253496405E-2</c:v>
                </c:pt>
                <c:pt idx="10">
                  <c:v>5.8526917534806641E-2</c:v>
                </c:pt>
                <c:pt idx="11">
                  <c:v>6.4367103816116877E-2</c:v>
                </c:pt>
                <c:pt idx="12">
                  <c:v>7.0207290097427114E-2</c:v>
                </c:pt>
                <c:pt idx="13">
                  <c:v>7.604747637873735E-2</c:v>
                </c:pt>
                <c:pt idx="14">
                  <c:v>8.1887662660047586E-2</c:v>
                </c:pt>
                <c:pt idx="15">
                  <c:v>8.7727848941357822E-2</c:v>
                </c:pt>
                <c:pt idx="16">
                  <c:v>9.3568035222668058E-2</c:v>
                </c:pt>
                <c:pt idx="17">
                  <c:v>9.9408221503978295E-2</c:v>
                </c:pt>
                <c:pt idx="18">
                  <c:v>0.10524840778528853</c:v>
                </c:pt>
                <c:pt idx="19">
                  <c:v>0.11108859406659877</c:v>
                </c:pt>
                <c:pt idx="20">
                  <c:v>0.116928780347909</c:v>
                </c:pt>
                <c:pt idx="21">
                  <c:v>0.12276896662921924</c:v>
                </c:pt>
                <c:pt idx="22">
                  <c:v>0.12860915291052949</c:v>
                </c:pt>
                <c:pt idx="23">
                  <c:v>0.13444933919183974</c:v>
                </c:pt>
                <c:pt idx="24">
                  <c:v>0.14028952547314999</c:v>
                </c:pt>
                <c:pt idx="25">
                  <c:v>0.14612971175446024</c:v>
                </c:pt>
                <c:pt idx="26">
                  <c:v>0.15196989803577049</c:v>
                </c:pt>
                <c:pt idx="27">
                  <c:v>0.15781008431708074</c:v>
                </c:pt>
                <c:pt idx="28">
                  <c:v>0.16365027059839099</c:v>
                </c:pt>
                <c:pt idx="29">
                  <c:v>0.16949045687970124</c:v>
                </c:pt>
                <c:pt idx="30">
                  <c:v>0.17533064316101149</c:v>
                </c:pt>
                <c:pt idx="31">
                  <c:v>0.18117082944232174</c:v>
                </c:pt>
                <c:pt idx="32">
                  <c:v>0.18701101572363199</c:v>
                </c:pt>
                <c:pt idx="33">
                  <c:v>0.19285120200494224</c:v>
                </c:pt>
                <c:pt idx="34">
                  <c:v>0.19869138828625249</c:v>
                </c:pt>
                <c:pt idx="35">
                  <c:v>0.20453157456756274</c:v>
                </c:pt>
                <c:pt idx="36">
                  <c:v>0.21037176084887299</c:v>
                </c:pt>
                <c:pt idx="37">
                  <c:v>0.21621194713018324</c:v>
                </c:pt>
                <c:pt idx="38">
                  <c:v>0.22205213341149349</c:v>
                </c:pt>
                <c:pt idx="39">
                  <c:v>0.22789231969280374</c:v>
                </c:pt>
                <c:pt idx="40">
                  <c:v>0.23373250597411399</c:v>
                </c:pt>
                <c:pt idx="41">
                  <c:v>0.23957269225542424</c:v>
                </c:pt>
                <c:pt idx="42">
                  <c:v>0.24541287853673449</c:v>
                </c:pt>
                <c:pt idx="43">
                  <c:v>0.25125306481804471</c:v>
                </c:pt>
                <c:pt idx="44">
                  <c:v>0.25709325109935494</c:v>
                </c:pt>
                <c:pt idx="45">
                  <c:v>0.26293343738066516</c:v>
                </c:pt>
                <c:pt idx="46">
                  <c:v>0.26877362366197538</c:v>
                </c:pt>
                <c:pt idx="47">
                  <c:v>0.2746138099432856</c:v>
                </c:pt>
                <c:pt idx="48">
                  <c:v>0.28045399622459583</c:v>
                </c:pt>
                <c:pt idx="49">
                  <c:v>0.28629418250590605</c:v>
                </c:pt>
                <c:pt idx="50">
                  <c:v>0.29213436878721627</c:v>
                </c:pt>
                <c:pt idx="51">
                  <c:v>0.29797455506852649</c:v>
                </c:pt>
                <c:pt idx="52">
                  <c:v>0.30381474134983671</c:v>
                </c:pt>
                <c:pt idx="53">
                  <c:v>0.30965492763114694</c:v>
                </c:pt>
                <c:pt idx="54">
                  <c:v>0.31549511391245716</c:v>
                </c:pt>
                <c:pt idx="55">
                  <c:v>0.32133530019376738</c:v>
                </c:pt>
                <c:pt idx="56">
                  <c:v>0.3271754864750776</c:v>
                </c:pt>
                <c:pt idx="57">
                  <c:v>0.33301567275638783</c:v>
                </c:pt>
                <c:pt idx="58">
                  <c:v>0.33885585903769805</c:v>
                </c:pt>
                <c:pt idx="59">
                  <c:v>0.34469604531900827</c:v>
                </c:pt>
                <c:pt idx="60">
                  <c:v>0.35053623160031849</c:v>
                </c:pt>
                <c:pt idx="61">
                  <c:v>0.35637641788162872</c:v>
                </c:pt>
                <c:pt idx="62">
                  <c:v>0.36221660416293894</c:v>
                </c:pt>
                <c:pt idx="63">
                  <c:v>0.36805679044424916</c:v>
                </c:pt>
                <c:pt idx="64">
                  <c:v>0.37389697672555938</c:v>
                </c:pt>
                <c:pt idx="65">
                  <c:v>0.3797371630068696</c:v>
                </c:pt>
                <c:pt idx="66">
                  <c:v>0.38557734928817983</c:v>
                </c:pt>
                <c:pt idx="67">
                  <c:v>0.39141753556949005</c:v>
                </c:pt>
                <c:pt idx="68">
                  <c:v>0.39725772185080027</c:v>
                </c:pt>
                <c:pt idx="69">
                  <c:v>0.40309790813211049</c:v>
                </c:pt>
                <c:pt idx="70">
                  <c:v>0.40893809441342072</c:v>
                </c:pt>
                <c:pt idx="71">
                  <c:v>0.41477828069473094</c:v>
                </c:pt>
                <c:pt idx="72">
                  <c:v>0.42061846697604116</c:v>
                </c:pt>
                <c:pt idx="73">
                  <c:v>0.42645865325735138</c:v>
                </c:pt>
                <c:pt idx="74">
                  <c:v>0.43229883953866161</c:v>
                </c:pt>
                <c:pt idx="75">
                  <c:v>0.43813902581997183</c:v>
                </c:pt>
                <c:pt idx="76">
                  <c:v>0.44397921210128205</c:v>
                </c:pt>
                <c:pt idx="77">
                  <c:v>0.44981939838259227</c:v>
                </c:pt>
                <c:pt idx="78">
                  <c:v>0.45565958466390249</c:v>
                </c:pt>
                <c:pt idx="79">
                  <c:v>0.46149977094521272</c:v>
                </c:pt>
                <c:pt idx="80">
                  <c:v>0.46733995722652294</c:v>
                </c:pt>
                <c:pt idx="81">
                  <c:v>0.47318014350783316</c:v>
                </c:pt>
                <c:pt idx="82">
                  <c:v>0.47902032978914338</c:v>
                </c:pt>
                <c:pt idx="83">
                  <c:v>0.48486051607045361</c:v>
                </c:pt>
                <c:pt idx="84">
                  <c:v>0.49070070235176383</c:v>
                </c:pt>
                <c:pt idx="85">
                  <c:v>0.49654088863307405</c:v>
                </c:pt>
                <c:pt idx="86">
                  <c:v>0.50238107491438433</c:v>
                </c:pt>
                <c:pt idx="87">
                  <c:v>0.50822126119569455</c:v>
                </c:pt>
                <c:pt idx="88">
                  <c:v>0.51406144747700477</c:v>
                </c:pt>
                <c:pt idx="89">
                  <c:v>0.519901633758315</c:v>
                </c:pt>
                <c:pt idx="90">
                  <c:v>0.52574182003962522</c:v>
                </c:pt>
                <c:pt idx="91">
                  <c:v>0.53158200632093544</c:v>
                </c:pt>
                <c:pt idx="92">
                  <c:v>0.53742219260224566</c:v>
                </c:pt>
                <c:pt idx="93">
                  <c:v>0.54326237888355589</c:v>
                </c:pt>
                <c:pt idx="94">
                  <c:v>0.54910256516486611</c:v>
                </c:pt>
                <c:pt idx="95">
                  <c:v>0.55494275144617633</c:v>
                </c:pt>
                <c:pt idx="96">
                  <c:v>0.56078293772748655</c:v>
                </c:pt>
                <c:pt idx="97">
                  <c:v>0.56662312400879677</c:v>
                </c:pt>
                <c:pt idx="98">
                  <c:v>0.572463310290107</c:v>
                </c:pt>
                <c:pt idx="99">
                  <c:v>0.57830349657141722</c:v>
                </c:pt>
              </c:numCache>
            </c:numRef>
          </c:xVal>
          <c:yVal>
            <c:numRef>
              <c:f>Calc_Area!$F$108:$F$207</c:f>
              <c:numCache>
                <c:formatCode>General</c:formatCode>
                <c:ptCount val="100"/>
                <c:pt idx="0">
                  <c:v>7.9929995623358794</c:v>
                </c:pt>
                <c:pt idx="1">
                  <c:v>7.6718655509808666</c:v>
                </c:pt>
                <c:pt idx="2">
                  <c:v>7.3618546312877999</c:v>
                </c:pt>
                <c:pt idx="3">
                  <c:v>7.0626438738383328</c:v>
                </c:pt>
                <c:pt idx="4">
                  <c:v>6.7739178935086235</c:v>
                </c:pt>
                <c:pt idx="5">
                  <c:v>6.4953687165020417</c:v>
                </c:pt>
                <c:pt idx="6">
                  <c:v>6.2266956489534939</c:v>
                </c:pt>
                <c:pt idx="7">
                  <c:v>5.9676051470960223</c:v>
                </c:pt>
                <c:pt idx="8">
                  <c:v>5.7178106889803679</c:v>
                </c:pt>
                <c:pt idx="9">
                  <c:v>5.4770326477380813</c:v>
                </c:pt>
                <c:pt idx="10">
                  <c:v>5.2449981663789318</c:v>
                </c:pt>
                <c:pt idx="11">
                  <c:v>5.0214410341131943</c:v>
                </c:pt>
                <c:pt idx="12">
                  <c:v>4.8061015641895164</c:v>
                </c:pt>
                <c:pt idx="13">
                  <c:v>4.5987264732389992</c:v>
                </c:pt>
                <c:pt idx="14">
                  <c:v>4.3990687621161602</c:v>
                </c:pt>
                <c:pt idx="15">
                  <c:v>4.2068875982274134</c:v>
                </c:pt>
                <c:pt idx="16">
                  <c:v>4.0219481993377695</c:v>
                </c:pt>
                <c:pt idx="17">
                  <c:v>3.8440217188463617</c:v>
                </c:pt>
                <c:pt idx="18">
                  <c:v>3.6728851325214724</c:v>
                </c:pt>
                <c:pt idx="19">
                  <c:v>3.5083211266857335</c:v>
                </c:pt>
                <c:pt idx="20">
                  <c:v>3.3501179878421334</c:v>
                </c:pt>
                <c:pt idx="21">
                  <c:v>3.1980694937315102</c:v>
                </c:pt>
                <c:pt idx="22">
                  <c:v>3.0519748058121521</c:v>
                </c:pt>
                <c:pt idx="23">
                  <c:v>2.9116383631522109</c:v>
                </c:pt>
                <c:pt idx="24">
                  <c:v>2.7768697777255311</c:v>
                </c:pt>
                <c:pt idx="25">
                  <c:v>2.6474837311016017</c:v>
                </c:pt>
                <c:pt idx="26">
                  <c:v>2.5232998725202496</c:v>
                </c:pt>
                <c:pt idx="27">
                  <c:v>2.4041427183417481</c:v>
                </c:pt>
                <c:pt idx="28">
                  <c:v>2.2898415528630034</c:v>
                </c:pt>
                <c:pt idx="29">
                  <c:v>2.180230330490454</c:v>
                </c:pt>
                <c:pt idx="30">
                  <c:v>2.0751475792603511</c:v>
                </c:pt>
                <c:pt idx="31">
                  <c:v>1.9744363056971004</c:v>
                </c:pt>
                <c:pt idx="32">
                  <c:v>1.8779439010002676</c:v>
                </c:pt>
                <c:pt idx="33">
                  <c:v>1.7855220485509555</c:v>
                </c:pt>
                <c:pt idx="34">
                  <c:v>1.6970266327281864</c:v>
                </c:pt>
                <c:pt idx="35">
                  <c:v>1.6123176490259432</c:v>
                </c:pt>
                <c:pt idx="36">
                  <c:v>1.531259115461544</c:v>
                </c:pt>
                <c:pt idx="37">
                  <c:v>1.4537189852659758</c:v>
                </c:pt>
                <c:pt idx="38">
                  <c:v>1.3795690608468785</c:v>
                </c:pt>
                <c:pt idx="39">
                  <c:v>1.308684909014818</c:v>
                </c:pt>
                <c:pt idx="40">
                  <c:v>1.2409457774634995</c:v>
                </c:pt>
                <c:pt idx="41">
                  <c:v>1.1762345124945868</c:v>
                </c:pt>
                <c:pt idx="42">
                  <c:v>1.114437477977789</c:v>
                </c:pt>
                <c:pt idx="43">
                  <c:v>1.0554444755368582</c:v>
                </c:pt>
                <c:pt idx="44">
                  <c:v>0.99914866595216201</c:v>
                </c:pt>
                <c:pt idx="45">
                  <c:v>0.94544649177048534</c:v>
                </c:pt>
                <c:pt idx="46">
                  <c:v>0.89423760111272321</c:v>
                </c:pt>
                <c:pt idx="47">
                  <c:v>0.84542477267011296</c:v>
                </c:pt>
                <c:pt idx="48">
                  <c:v>0.79891384187966452</c:v>
                </c:pt>
                <c:pt idx="49">
                  <c:v>0.7546136282694561</c:v>
                </c:pt>
                <c:pt idx="50">
                  <c:v>0.71243586396442971</c:v>
                </c:pt>
                <c:pt idx="51">
                  <c:v>0.67229512334337016</c:v>
                </c:pt>
                <c:pt idx="52">
                  <c:v>0.6341087538376976</c:v>
                </c:pt>
                <c:pt idx="53">
                  <c:v>0.59779680786275169</c:v>
                </c:pt>
                <c:pt idx="54">
                  <c:v>0.56328197587221174</c:v>
                </c:pt>
                <c:pt idx="55">
                  <c:v>0.53048952052630982</c:v>
                </c:pt>
                <c:pt idx="56">
                  <c:v>0.49934721196450149</c:v>
                </c:pt>
                <c:pt idx="57">
                  <c:v>0.46978526417324162</c:v>
                </c:pt>
                <c:pt idx="58">
                  <c:v>0.4417362724395264</c:v>
                </c:pt>
                <c:pt idx="59">
                  <c:v>0.4151351518808577</c:v>
                </c:pt>
                <c:pt idx="60">
                  <c:v>0.3899190770422859</c:v>
                </c:pt>
                <c:pt idx="61">
                  <c:v>0.36602742255118659</c:v>
                </c:pt>
                <c:pt idx="62">
                  <c:v>0.34340170482043092</c:v>
                </c:pt>
                <c:pt idx="63">
                  <c:v>0.32198552479060216</c:v>
                </c:pt>
                <c:pt idx="64">
                  <c:v>0.30172451170191694</c:v>
                </c:pt>
                <c:pt idx="65">
                  <c:v>0.28256626788650951</c:v>
                </c:pt>
                <c:pt idx="66">
                  <c:v>0.26446031457173191</c:v>
                </c:pt>
                <c:pt idx="67">
                  <c:v>0.24735803868512893</c:v>
                </c:pt>
                <c:pt idx="68">
                  <c:v>0.2312126406517441</c:v>
                </c:pt>
                <c:pt idx="69">
                  <c:v>0.21597908317441328</c:v>
                </c:pt>
                <c:pt idx="70">
                  <c:v>0.20161404098770111</c:v>
                </c:pt>
                <c:pt idx="71">
                  <c:v>0.1880758515761396</c:v>
                </c:pt>
                <c:pt idx="72">
                  <c:v>0.17532446684742187</c:v>
                </c:pt>
                <c:pt idx="73">
                  <c:v>0.16332140575121099</c:v>
                </c:pt>
                <c:pt idx="74">
                  <c:v>0.15202970783421832</c:v>
                </c:pt>
                <c:pt idx="75">
                  <c:v>0.14141388772220809</c:v>
                </c:pt>
                <c:pt idx="76">
                  <c:v>0.13143989051958593</c:v>
                </c:pt>
                <c:pt idx="77">
                  <c:v>0.12207504811722665</c:v>
                </c:pt>
                <c:pt idx="78">
                  <c:v>0.11328803639919853</c:v>
                </c:pt>
                <c:pt idx="79">
                  <c:v>0.10504883333904051</c:v>
                </c:pt>
                <c:pt idx="80">
                  <c:v>9.7328677976248279E-2</c:v>
                </c:pt>
                <c:pt idx="81">
                  <c:v>9.0100030263627201E-2</c:v>
                </c:pt>
                <c:pt idx="82">
                  <c:v>8.3336531776166664E-2</c:v>
                </c:pt>
                <c:pt idx="83">
                  <c:v>7.7012967272094474E-2</c:v>
                </c:pt>
                <c:pt idx="84">
                  <c:v>7.1105227096765936E-2</c:v>
                </c:pt>
                <c:pt idx="85">
                  <c:v>6.5590270420045629E-2</c:v>
                </c:pt>
                <c:pt idx="86">
                  <c:v>6.0446089297837659E-2</c:v>
                </c:pt>
                <c:pt idx="87">
                  <c:v>5.5651673548421265E-2</c:v>
                </c:pt>
                <c:pt idx="88">
                  <c:v>5.1186976434247751E-2</c:v>
                </c:pt>
                <c:pt idx="89">
                  <c:v>4.7032881139856306E-2</c:v>
                </c:pt>
                <c:pt idx="90">
                  <c:v>4.3171168036564234E-2</c:v>
                </c:pt>
                <c:pt idx="91">
                  <c:v>3.9584482724588962E-2</c:v>
                </c:pt>
                <c:pt idx="92">
                  <c:v>3.6256304843257571E-2</c:v>
                </c:pt>
                <c:pt idx="93">
                  <c:v>3.3170917639961175E-2</c:v>
                </c:pt>
                <c:pt idx="94">
                  <c:v>3.0313378288510138E-2</c:v>
                </c:pt>
                <c:pt idx="95">
                  <c:v>2.7669488947547023E-2</c:v>
                </c:pt>
                <c:pt idx="96">
                  <c:v>2.52257685496735E-2</c:v>
                </c:pt>
                <c:pt idx="97">
                  <c:v>2.2969425311948132E-2</c:v>
                </c:pt>
                <c:pt idx="98">
                  <c:v>2.0888329958411216E-2</c:v>
                </c:pt>
                <c:pt idx="99">
                  <c:v>1.8970989645293486E-2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A6-45E5-B4F5-C531E2873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553096"/>
        <c:axId val="256553488"/>
      </c:scatterChart>
      <c:valAx>
        <c:axId val="25655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256553488"/>
        <c:crosses val="autoZero"/>
        <c:crossBetween val="midCat"/>
      </c:valAx>
      <c:valAx>
        <c:axId val="256553488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256553096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8180426310348"/>
          <c:y val="5.0011349932609792E-2"/>
          <c:w val="0.7747467291020439"/>
          <c:h val="0.77939561608853702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Calc_Area!$E$108:$E$207</c:f>
              <c:numCache>
                <c:formatCode>0.0E+00</c:formatCode>
                <c:ptCount val="100"/>
                <c:pt idx="0">
                  <c:v>1.2505472170427321E-4</c:v>
                </c:pt>
                <c:pt idx="1">
                  <c:v>5.9652410030145101E-3</c:v>
                </c:pt>
                <c:pt idx="2">
                  <c:v>1.1805427284324748E-2</c:v>
                </c:pt>
                <c:pt idx="3">
                  <c:v>1.7645613565634984E-2</c:v>
                </c:pt>
                <c:pt idx="4">
                  <c:v>2.348579984694522E-2</c:v>
                </c:pt>
                <c:pt idx="5">
                  <c:v>2.9325986128255457E-2</c:v>
                </c:pt>
                <c:pt idx="6">
                  <c:v>3.5166172409565696E-2</c:v>
                </c:pt>
                <c:pt idx="7">
                  <c:v>4.1006358690875933E-2</c:v>
                </c:pt>
                <c:pt idx="8">
                  <c:v>4.6846544972186169E-2</c:v>
                </c:pt>
                <c:pt idx="9">
                  <c:v>5.2686731253496405E-2</c:v>
                </c:pt>
                <c:pt idx="10">
                  <c:v>5.8526917534806641E-2</c:v>
                </c:pt>
                <c:pt idx="11">
                  <c:v>6.4367103816116877E-2</c:v>
                </c:pt>
                <c:pt idx="12">
                  <c:v>7.0207290097427114E-2</c:v>
                </c:pt>
                <c:pt idx="13">
                  <c:v>7.604747637873735E-2</c:v>
                </c:pt>
                <c:pt idx="14">
                  <c:v>8.1887662660047586E-2</c:v>
                </c:pt>
                <c:pt idx="15">
                  <c:v>8.7727848941357822E-2</c:v>
                </c:pt>
                <c:pt idx="16">
                  <c:v>9.3568035222668058E-2</c:v>
                </c:pt>
                <c:pt idx="17">
                  <c:v>9.9408221503978295E-2</c:v>
                </c:pt>
                <c:pt idx="18">
                  <c:v>0.10524840778528853</c:v>
                </c:pt>
                <c:pt idx="19">
                  <c:v>0.11108859406659877</c:v>
                </c:pt>
                <c:pt idx="20">
                  <c:v>0.116928780347909</c:v>
                </c:pt>
                <c:pt idx="21">
                  <c:v>0.12276896662921924</c:v>
                </c:pt>
                <c:pt idx="22">
                  <c:v>0.12860915291052949</c:v>
                </c:pt>
                <c:pt idx="23">
                  <c:v>0.13444933919183974</c:v>
                </c:pt>
                <c:pt idx="24">
                  <c:v>0.14028952547314999</c:v>
                </c:pt>
                <c:pt idx="25">
                  <c:v>0.14612971175446024</c:v>
                </c:pt>
                <c:pt idx="26">
                  <c:v>0.15196989803577049</c:v>
                </c:pt>
                <c:pt idx="27">
                  <c:v>0.15781008431708074</c:v>
                </c:pt>
                <c:pt idx="28">
                  <c:v>0.16365027059839099</c:v>
                </c:pt>
                <c:pt idx="29">
                  <c:v>0.16949045687970124</c:v>
                </c:pt>
                <c:pt idx="30">
                  <c:v>0.17533064316101149</c:v>
                </c:pt>
                <c:pt idx="31">
                  <c:v>0.18117082944232174</c:v>
                </c:pt>
                <c:pt idx="32">
                  <c:v>0.18701101572363199</c:v>
                </c:pt>
                <c:pt idx="33">
                  <c:v>0.19285120200494224</c:v>
                </c:pt>
                <c:pt idx="34">
                  <c:v>0.19869138828625249</c:v>
                </c:pt>
                <c:pt idx="35">
                  <c:v>0.20453157456756274</c:v>
                </c:pt>
                <c:pt idx="36">
                  <c:v>0.21037176084887299</c:v>
                </c:pt>
                <c:pt idx="37">
                  <c:v>0.21621194713018324</c:v>
                </c:pt>
                <c:pt idx="38">
                  <c:v>0.22205213341149349</c:v>
                </c:pt>
                <c:pt idx="39">
                  <c:v>0.22789231969280374</c:v>
                </c:pt>
                <c:pt idx="40">
                  <c:v>0.23373250597411399</c:v>
                </c:pt>
                <c:pt idx="41">
                  <c:v>0.23957269225542424</c:v>
                </c:pt>
                <c:pt idx="42">
                  <c:v>0.24541287853673449</c:v>
                </c:pt>
                <c:pt idx="43">
                  <c:v>0.25125306481804471</c:v>
                </c:pt>
                <c:pt idx="44">
                  <c:v>0.25709325109935494</c:v>
                </c:pt>
                <c:pt idx="45">
                  <c:v>0.26293343738066516</c:v>
                </c:pt>
                <c:pt idx="46">
                  <c:v>0.26877362366197538</c:v>
                </c:pt>
                <c:pt idx="47">
                  <c:v>0.2746138099432856</c:v>
                </c:pt>
                <c:pt idx="48">
                  <c:v>0.28045399622459583</c:v>
                </c:pt>
                <c:pt idx="49">
                  <c:v>0.28629418250590605</c:v>
                </c:pt>
                <c:pt idx="50">
                  <c:v>0.29213436878721627</c:v>
                </c:pt>
                <c:pt idx="51">
                  <c:v>0.29797455506852649</c:v>
                </c:pt>
                <c:pt idx="52">
                  <c:v>0.30381474134983671</c:v>
                </c:pt>
                <c:pt idx="53">
                  <c:v>0.30965492763114694</c:v>
                </c:pt>
                <c:pt idx="54">
                  <c:v>0.31549511391245716</c:v>
                </c:pt>
                <c:pt idx="55">
                  <c:v>0.32133530019376738</c:v>
                </c:pt>
                <c:pt idx="56">
                  <c:v>0.3271754864750776</c:v>
                </c:pt>
                <c:pt idx="57">
                  <c:v>0.33301567275638783</c:v>
                </c:pt>
                <c:pt idx="58">
                  <c:v>0.33885585903769805</c:v>
                </c:pt>
                <c:pt idx="59">
                  <c:v>0.34469604531900827</c:v>
                </c:pt>
                <c:pt idx="60">
                  <c:v>0.35053623160031849</c:v>
                </c:pt>
                <c:pt idx="61">
                  <c:v>0.35637641788162872</c:v>
                </c:pt>
                <c:pt idx="62">
                  <c:v>0.36221660416293894</c:v>
                </c:pt>
                <c:pt idx="63">
                  <c:v>0.36805679044424916</c:v>
                </c:pt>
                <c:pt idx="64">
                  <c:v>0.37389697672555938</c:v>
                </c:pt>
                <c:pt idx="65">
                  <c:v>0.3797371630068696</c:v>
                </c:pt>
                <c:pt idx="66">
                  <c:v>0.38557734928817983</c:v>
                </c:pt>
                <c:pt idx="67">
                  <c:v>0.39141753556949005</c:v>
                </c:pt>
                <c:pt idx="68">
                  <c:v>0.39725772185080027</c:v>
                </c:pt>
                <c:pt idx="69">
                  <c:v>0.40309790813211049</c:v>
                </c:pt>
                <c:pt idx="70">
                  <c:v>0.40893809441342072</c:v>
                </c:pt>
                <c:pt idx="71">
                  <c:v>0.41477828069473094</c:v>
                </c:pt>
                <c:pt idx="72">
                  <c:v>0.42061846697604116</c:v>
                </c:pt>
                <c:pt idx="73">
                  <c:v>0.42645865325735138</c:v>
                </c:pt>
                <c:pt idx="74">
                  <c:v>0.43229883953866161</c:v>
                </c:pt>
                <c:pt idx="75">
                  <c:v>0.43813902581997183</c:v>
                </c:pt>
                <c:pt idx="76">
                  <c:v>0.44397921210128205</c:v>
                </c:pt>
                <c:pt idx="77">
                  <c:v>0.44981939838259227</c:v>
                </c:pt>
                <c:pt idx="78">
                  <c:v>0.45565958466390249</c:v>
                </c:pt>
                <c:pt idx="79">
                  <c:v>0.46149977094521272</c:v>
                </c:pt>
                <c:pt idx="80">
                  <c:v>0.46733995722652294</c:v>
                </c:pt>
                <c:pt idx="81">
                  <c:v>0.47318014350783316</c:v>
                </c:pt>
                <c:pt idx="82">
                  <c:v>0.47902032978914338</c:v>
                </c:pt>
                <c:pt idx="83">
                  <c:v>0.48486051607045361</c:v>
                </c:pt>
                <c:pt idx="84">
                  <c:v>0.49070070235176383</c:v>
                </c:pt>
                <c:pt idx="85">
                  <c:v>0.49654088863307405</c:v>
                </c:pt>
                <c:pt idx="86">
                  <c:v>0.50238107491438433</c:v>
                </c:pt>
                <c:pt idx="87">
                  <c:v>0.50822126119569455</c:v>
                </c:pt>
                <c:pt idx="88">
                  <c:v>0.51406144747700477</c:v>
                </c:pt>
                <c:pt idx="89">
                  <c:v>0.519901633758315</c:v>
                </c:pt>
                <c:pt idx="90">
                  <c:v>0.52574182003962522</c:v>
                </c:pt>
                <c:pt idx="91">
                  <c:v>0.53158200632093544</c:v>
                </c:pt>
                <c:pt idx="92">
                  <c:v>0.53742219260224566</c:v>
                </c:pt>
                <c:pt idx="93">
                  <c:v>0.54326237888355589</c:v>
                </c:pt>
                <c:pt idx="94">
                  <c:v>0.54910256516486611</c:v>
                </c:pt>
                <c:pt idx="95">
                  <c:v>0.55494275144617633</c:v>
                </c:pt>
                <c:pt idx="96">
                  <c:v>0.56078293772748655</c:v>
                </c:pt>
                <c:pt idx="97">
                  <c:v>0.56662312400879677</c:v>
                </c:pt>
                <c:pt idx="98">
                  <c:v>0.572463310290107</c:v>
                </c:pt>
                <c:pt idx="99">
                  <c:v>0.57830349657141722</c:v>
                </c:pt>
              </c:numCache>
            </c:numRef>
          </c:xVal>
          <c:yVal>
            <c:numRef>
              <c:f>Calc_Area!$H$108:$H$207</c:f>
              <c:numCache>
                <c:formatCode>General</c:formatCode>
                <c:ptCount val="100"/>
                <c:pt idx="0">
                  <c:v>1E-3</c:v>
                </c:pt>
                <c:pt idx="1">
                  <c:v>4.6737371996685935E-2</c:v>
                </c:pt>
                <c:pt idx="2">
                  <c:v>9.063190102995787E-2</c:v>
                </c:pt>
                <c:pt idx="3">
                  <c:v>0.13274760133889282</c:v>
                </c:pt>
                <c:pt idx="4">
                  <c:v>0.17314662328974822</c:v>
                </c:pt>
                <c:pt idx="5">
                  <c:v>0.21188929704700329</c:v>
                </c:pt>
                <c:pt idx="6">
                  <c:v>0.24903417547244022</c:v>
                </c:pt>
                <c:pt idx="7">
                  <c:v>0.28463807626141674</c:v>
                </c:pt>
                <c:pt idx="8">
                  <c:v>0.31875612332542702</c:v>
                </c:pt>
                <c:pt idx="9">
                  <c:v>0.35144178742999227</c:v>
                </c:pt>
                <c:pt idx="10">
                  <c:v>0.38274692609686972</c:v>
                </c:pt>
                <c:pt idx="11">
                  <c:v>0.41272182277951208</c:v>
                </c:pt>
                <c:pt idx="12">
                  <c:v>0.44141522532065658</c:v>
                </c:pt>
                <c:pt idx="13">
                  <c:v>0.46887438370086681</c:v>
                </c:pt>
                <c:pt idx="14">
                  <c:v>0.49514508708679739</c:v>
                </c:pt>
                <c:pt idx="15">
                  <c:v>0.52027170018789604</c:v>
                </c:pt>
                <c:pt idx="16">
                  <c:v>0.54429719893020334</c:v>
                </c:pt>
                <c:pt idx="17">
                  <c:v>0.56726320545585418</c:v>
                </c:pt>
                <c:pt idx="18">
                  <c:v>0.58921002245683551</c:v>
                </c:pt>
                <c:pt idx="19">
                  <c:v>0.61017666685149297</c:v>
                </c:pt>
                <c:pt idx="20">
                  <c:v>0.63020090281223118</c:v>
                </c:pt>
                <c:pt idx="21">
                  <c:v>0.64931927415279356</c:v>
                </c:pt>
                <c:pt idx="22">
                  <c:v>0.66756713608345464</c:v>
                </c:pt>
                <c:pt idx="23">
                  <c:v>0.684978686342403</c:v>
                </c:pt>
                <c:pt idx="24">
                  <c:v>0.70158699571154048</c:v>
                </c:pt>
                <c:pt idx="25">
                  <c:v>0.71742403792486331</c:v>
                </c:pt>
                <c:pt idx="26">
                  <c:v>0.73252071897754167</c:v>
                </c:pt>
                <c:pt idx="27">
                  <c:v>0.74690690584375841</c:v>
                </c:pt>
                <c:pt idx="28">
                  <c:v>0.76061145461130919</c:v>
                </c:pt>
                <c:pt idx="29">
                  <c:v>0.77366223804092027</c:v>
                </c:pt>
                <c:pt idx="30">
                  <c:v>0.78608617255817359</c:v>
                </c:pt>
                <c:pt idx="31">
                  <c:v>0.79790924468588531</c:v>
                </c:pt>
                <c:pt idx="32">
                  <c:v>0.80915653692472478</c:v>
                </c:pt>
                <c:pt idx="33">
                  <c:v>0.81985225308980358</c:v>
                </c:pt>
                <c:pt idx="34">
                  <c:v>0.83001974311091575</c:v>
                </c:pt>
                <c:pt idx="35">
                  <c:v>0.8396815273040511</c:v>
                </c:pt>
                <c:pt idx="36">
                  <c:v>0.84885932012174914</c:v>
                </c:pt>
                <c:pt idx="37">
                  <c:v>0.85757405338981241</c:v>
                </c:pt>
                <c:pt idx="38">
                  <c:v>0.86584589903783327</c:v>
                </c:pt>
                <c:pt idx="39">
                  <c:v>0.87369429133094223</c:v>
                </c:pt>
                <c:pt idx="40">
                  <c:v>0.88113794861013039</c:v>
                </c:pt>
                <c:pt idx="41">
                  <c:v>0.88819489454843636</c:v>
                </c:pt>
                <c:pt idx="42">
                  <c:v>0.8948824789302452</c:v>
                </c:pt>
                <c:pt idx="43">
                  <c:v>0.90121739796088174</c:v>
                </c:pt>
                <c:pt idx="44">
                  <c:v>0.90721571411363322</c:v>
                </c:pt>
                <c:pt idx="45">
                  <c:v>0.91289287552127774</c:v>
                </c:pt>
                <c:pt idx="46">
                  <c:v>0.91826373491914226</c:v>
                </c:pt>
                <c:pt idx="47">
                  <c:v>0.92334256814665816</c:v>
                </c:pt>
                <c:pt idx="48">
                  <c:v>0.92814309221432922</c:v>
                </c:pt>
                <c:pt idx="49">
                  <c:v>0.93267848294297073</c:v>
                </c:pt>
                <c:pt idx="50">
                  <c:v>0.93696139218202446</c:v>
                </c:pt>
                <c:pt idx="51">
                  <c:v>0.94100396461370162</c:v>
                </c:pt>
                <c:pt idx="52">
                  <c:v>0.94481785414964636</c:v>
                </c:pt>
                <c:pt idx="53">
                  <c:v>0.9484142399267651</c:v>
                </c:pt>
                <c:pt idx="54">
                  <c:v>0.95180384190880341</c:v>
                </c:pt>
                <c:pt idx="55">
                  <c:v>0.95499693610020764</c:v>
                </c:pt>
                <c:pt idx="56">
                  <c:v>0.95800336937874486</c:v>
                </c:pt>
                <c:pt idx="57">
                  <c:v>0.96083257395330612</c:v>
                </c:pt>
                <c:pt idx="58">
                  <c:v>0.96349358145326014</c:v>
                </c:pt>
                <c:pt idx="59">
                  <c:v>0.96599503665567266</c:v>
                </c:pt>
                <c:pt idx="60">
                  <c:v>0.96834521085664904</c:v>
                </c:pt>
                <c:pt idx="61">
                  <c:v>0.97055201489300647</c:v>
                </c:pt>
                <c:pt idx="62">
                  <c:v>0.97262301182042377</c:v>
                </c:pt>
                <c:pt idx="63">
                  <c:v>0.97456542925416689</c:v>
                </c:pt>
                <c:pt idx="64">
                  <c:v>0.97638617137842831</c:v>
                </c:pt>
                <c:pt idx="65">
                  <c:v>0.97809183063026917</c:v>
                </c:pt>
                <c:pt idx="66">
                  <c:v>0.97968869906409439</c:v>
                </c:pt>
                <c:pt idx="67">
                  <c:v>0.9811827794025384</c:v>
                </c:pt>
                <c:pt idx="68">
                  <c:v>0.98257979577958454</c:v>
                </c:pt>
                <c:pt idx="69">
                  <c:v>0.98388520418168557</c:v>
                </c:pt>
                <c:pt idx="70">
                  <c:v>0.9851042025925999</c:v>
                </c:pt>
                <c:pt idx="71">
                  <c:v>0.98624174084760119</c:v>
                </c:pt>
                <c:pt idx="72">
                  <c:v>0.98730253020266656</c:v>
                </c:pt>
                <c:pt idx="73">
                  <c:v>0.98829105262419348</c:v>
                </c:pt>
                <c:pt idx="74">
                  <c:v>0.98921156980473957</c:v>
                </c:pt>
                <c:pt idx="75">
                  <c:v>0.99006813191022691</c:v>
                </c:pt>
                <c:pt idx="76">
                  <c:v>0.9908645860639973</c:v>
                </c:pt>
                <c:pt idx="77">
                  <c:v>0.99160458457304879</c:v>
                </c:pt>
                <c:pt idx="78">
                  <c:v>0.99229159290173119</c:v>
                </c:pt>
                <c:pt idx="79">
                  <c:v>0.99292889739812362</c:v>
                </c:pt>
                <c:pt idx="80">
                  <c:v>0.99351961277826073</c:v>
                </c:pt>
                <c:pt idx="81">
                  <c:v>0.9940666893733221</c:v>
                </c:pt>
                <c:pt idx="82">
                  <c:v>0.99457292014484211</c:v>
                </c:pt>
                <c:pt idx="83">
                  <c:v>0.99504094747294625</c:v>
                </c:pt>
                <c:pt idx="84">
                  <c:v>0.99547326972256234</c:v>
                </c:pt>
                <c:pt idx="85">
                  <c:v>0.99587224759250093</c:v>
                </c:pt>
                <c:pt idx="86">
                  <c:v>0.99624011025224757</c:v>
                </c:pt>
                <c:pt idx="87">
                  <c:v>0.99657896127125101</c:v>
                </c:pt>
                <c:pt idx="88">
                  <c:v>0.9968907843454391</c:v>
                </c:pt>
                <c:pt idx="89">
                  <c:v>0.99717744882563952</c:v>
                </c:pt>
                <c:pt idx="90">
                  <c:v>0.99744071505252696</c:v>
                </c:pt>
                <c:pt idx="91">
                  <c:v>0.99768223950266555</c:v>
                </c:pt>
                <c:pt idx="92">
                  <c:v>0.99790357975015764</c:v>
                </c:pt>
                <c:pt idx="93">
                  <c:v>0.9981061992483593</c:v>
                </c:pt>
                <c:pt idx="94">
                  <c:v>0.99829147193606549</c:v>
                </c:pt>
                <c:pt idx="95">
                  <c:v>0.99846068667251431</c:v>
                </c:pt>
                <c:pt idx="96">
                  <c:v>0.99861505150550578</c:v>
                </c:pt>
                <c:pt idx="97">
                  <c:v>0.99875569777687434</c:v>
                </c:pt>
                <c:pt idx="98">
                  <c:v>0.99888368406950168</c:v>
                </c:pt>
                <c:pt idx="99">
                  <c:v>0.999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BE-4EFB-8666-835A19B9D9C4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Calc_Area!$E$108:$E$207</c:f>
              <c:numCache>
                <c:formatCode>0.0E+00</c:formatCode>
                <c:ptCount val="100"/>
                <c:pt idx="0">
                  <c:v>1.2505472170427321E-4</c:v>
                </c:pt>
                <c:pt idx="1">
                  <c:v>5.9652410030145101E-3</c:v>
                </c:pt>
                <c:pt idx="2">
                  <c:v>1.1805427284324748E-2</c:v>
                </c:pt>
                <c:pt idx="3">
                  <c:v>1.7645613565634984E-2</c:v>
                </c:pt>
                <c:pt idx="4">
                  <c:v>2.348579984694522E-2</c:v>
                </c:pt>
                <c:pt idx="5">
                  <c:v>2.9325986128255457E-2</c:v>
                </c:pt>
                <c:pt idx="6">
                  <c:v>3.5166172409565696E-2</c:v>
                </c:pt>
                <c:pt idx="7">
                  <c:v>4.1006358690875933E-2</c:v>
                </c:pt>
                <c:pt idx="8">
                  <c:v>4.6846544972186169E-2</c:v>
                </c:pt>
                <c:pt idx="9">
                  <c:v>5.2686731253496405E-2</c:v>
                </c:pt>
                <c:pt idx="10">
                  <c:v>5.8526917534806641E-2</c:v>
                </c:pt>
                <c:pt idx="11">
                  <c:v>6.4367103816116877E-2</c:v>
                </c:pt>
                <c:pt idx="12">
                  <c:v>7.0207290097427114E-2</c:v>
                </c:pt>
                <c:pt idx="13">
                  <c:v>7.604747637873735E-2</c:v>
                </c:pt>
                <c:pt idx="14">
                  <c:v>8.1887662660047586E-2</c:v>
                </c:pt>
                <c:pt idx="15">
                  <c:v>8.7727848941357822E-2</c:v>
                </c:pt>
                <c:pt idx="16">
                  <c:v>9.3568035222668058E-2</c:v>
                </c:pt>
                <c:pt idx="17">
                  <c:v>9.9408221503978295E-2</c:v>
                </c:pt>
                <c:pt idx="18">
                  <c:v>0.10524840778528853</c:v>
                </c:pt>
                <c:pt idx="19">
                  <c:v>0.11108859406659877</c:v>
                </c:pt>
                <c:pt idx="20">
                  <c:v>0.116928780347909</c:v>
                </c:pt>
                <c:pt idx="21">
                  <c:v>0.12276896662921924</c:v>
                </c:pt>
                <c:pt idx="22">
                  <c:v>0.12860915291052949</c:v>
                </c:pt>
                <c:pt idx="23">
                  <c:v>0.13444933919183974</c:v>
                </c:pt>
                <c:pt idx="24">
                  <c:v>0.14028952547314999</c:v>
                </c:pt>
                <c:pt idx="25">
                  <c:v>0.14612971175446024</c:v>
                </c:pt>
                <c:pt idx="26">
                  <c:v>0.15196989803577049</c:v>
                </c:pt>
                <c:pt idx="27">
                  <c:v>0.15781008431708074</c:v>
                </c:pt>
                <c:pt idx="28">
                  <c:v>0.16365027059839099</c:v>
                </c:pt>
                <c:pt idx="29">
                  <c:v>0.16949045687970124</c:v>
                </c:pt>
                <c:pt idx="30">
                  <c:v>0.17533064316101149</c:v>
                </c:pt>
                <c:pt idx="31">
                  <c:v>0.18117082944232174</c:v>
                </c:pt>
                <c:pt idx="32">
                  <c:v>0.18701101572363199</c:v>
                </c:pt>
                <c:pt idx="33">
                  <c:v>0.19285120200494224</c:v>
                </c:pt>
                <c:pt idx="34">
                  <c:v>0.19869138828625249</c:v>
                </c:pt>
                <c:pt idx="35">
                  <c:v>0.20453157456756274</c:v>
                </c:pt>
                <c:pt idx="36">
                  <c:v>0.21037176084887299</c:v>
                </c:pt>
                <c:pt idx="37">
                  <c:v>0.21621194713018324</c:v>
                </c:pt>
                <c:pt idx="38">
                  <c:v>0.22205213341149349</c:v>
                </c:pt>
                <c:pt idx="39">
                  <c:v>0.22789231969280374</c:v>
                </c:pt>
                <c:pt idx="40">
                  <c:v>0.23373250597411399</c:v>
                </c:pt>
                <c:pt idx="41">
                  <c:v>0.23957269225542424</c:v>
                </c:pt>
                <c:pt idx="42">
                  <c:v>0.24541287853673449</c:v>
                </c:pt>
                <c:pt idx="43">
                  <c:v>0.25125306481804471</c:v>
                </c:pt>
                <c:pt idx="44">
                  <c:v>0.25709325109935494</c:v>
                </c:pt>
                <c:pt idx="45">
                  <c:v>0.26293343738066516</c:v>
                </c:pt>
                <c:pt idx="46">
                  <c:v>0.26877362366197538</c:v>
                </c:pt>
                <c:pt idx="47">
                  <c:v>0.2746138099432856</c:v>
                </c:pt>
                <c:pt idx="48">
                  <c:v>0.28045399622459583</c:v>
                </c:pt>
                <c:pt idx="49">
                  <c:v>0.28629418250590605</c:v>
                </c:pt>
                <c:pt idx="50">
                  <c:v>0.29213436878721627</c:v>
                </c:pt>
                <c:pt idx="51">
                  <c:v>0.29797455506852649</c:v>
                </c:pt>
                <c:pt idx="52">
                  <c:v>0.30381474134983671</c:v>
                </c:pt>
                <c:pt idx="53">
                  <c:v>0.30965492763114694</c:v>
                </c:pt>
                <c:pt idx="54">
                  <c:v>0.31549511391245716</c:v>
                </c:pt>
                <c:pt idx="55">
                  <c:v>0.32133530019376738</c:v>
                </c:pt>
                <c:pt idx="56">
                  <c:v>0.3271754864750776</c:v>
                </c:pt>
                <c:pt idx="57">
                  <c:v>0.33301567275638783</c:v>
                </c:pt>
                <c:pt idx="58">
                  <c:v>0.33885585903769805</c:v>
                </c:pt>
                <c:pt idx="59">
                  <c:v>0.34469604531900827</c:v>
                </c:pt>
                <c:pt idx="60">
                  <c:v>0.35053623160031849</c:v>
                </c:pt>
                <c:pt idx="61">
                  <c:v>0.35637641788162872</c:v>
                </c:pt>
                <c:pt idx="62">
                  <c:v>0.36221660416293894</c:v>
                </c:pt>
                <c:pt idx="63">
                  <c:v>0.36805679044424916</c:v>
                </c:pt>
                <c:pt idx="64">
                  <c:v>0.37389697672555938</c:v>
                </c:pt>
                <c:pt idx="65">
                  <c:v>0.3797371630068696</c:v>
                </c:pt>
                <c:pt idx="66">
                  <c:v>0.38557734928817983</c:v>
                </c:pt>
                <c:pt idx="67">
                  <c:v>0.39141753556949005</c:v>
                </c:pt>
                <c:pt idx="68">
                  <c:v>0.39725772185080027</c:v>
                </c:pt>
                <c:pt idx="69">
                  <c:v>0.40309790813211049</c:v>
                </c:pt>
                <c:pt idx="70">
                  <c:v>0.40893809441342072</c:v>
                </c:pt>
                <c:pt idx="71">
                  <c:v>0.41477828069473094</c:v>
                </c:pt>
                <c:pt idx="72">
                  <c:v>0.42061846697604116</c:v>
                </c:pt>
                <c:pt idx="73">
                  <c:v>0.42645865325735138</c:v>
                </c:pt>
                <c:pt idx="74">
                  <c:v>0.43229883953866161</c:v>
                </c:pt>
                <c:pt idx="75">
                  <c:v>0.43813902581997183</c:v>
                </c:pt>
                <c:pt idx="76">
                  <c:v>0.44397921210128205</c:v>
                </c:pt>
                <c:pt idx="77">
                  <c:v>0.44981939838259227</c:v>
                </c:pt>
                <c:pt idx="78">
                  <c:v>0.45565958466390249</c:v>
                </c:pt>
                <c:pt idx="79">
                  <c:v>0.46149977094521272</c:v>
                </c:pt>
                <c:pt idx="80">
                  <c:v>0.46733995722652294</c:v>
                </c:pt>
                <c:pt idx="81">
                  <c:v>0.47318014350783316</c:v>
                </c:pt>
                <c:pt idx="82">
                  <c:v>0.47902032978914338</c:v>
                </c:pt>
                <c:pt idx="83">
                  <c:v>0.48486051607045361</c:v>
                </c:pt>
                <c:pt idx="84">
                  <c:v>0.49070070235176383</c:v>
                </c:pt>
                <c:pt idx="85">
                  <c:v>0.49654088863307405</c:v>
                </c:pt>
                <c:pt idx="86">
                  <c:v>0.50238107491438433</c:v>
                </c:pt>
                <c:pt idx="87">
                  <c:v>0.50822126119569455</c:v>
                </c:pt>
                <c:pt idx="88">
                  <c:v>0.51406144747700477</c:v>
                </c:pt>
                <c:pt idx="89">
                  <c:v>0.519901633758315</c:v>
                </c:pt>
                <c:pt idx="90">
                  <c:v>0.52574182003962522</c:v>
                </c:pt>
                <c:pt idx="91">
                  <c:v>0.53158200632093544</c:v>
                </c:pt>
                <c:pt idx="92">
                  <c:v>0.53742219260224566</c:v>
                </c:pt>
                <c:pt idx="93">
                  <c:v>0.54326237888355589</c:v>
                </c:pt>
                <c:pt idx="94">
                  <c:v>0.54910256516486611</c:v>
                </c:pt>
                <c:pt idx="95">
                  <c:v>0.55494275144617633</c:v>
                </c:pt>
                <c:pt idx="96">
                  <c:v>0.56078293772748655</c:v>
                </c:pt>
                <c:pt idx="97">
                  <c:v>0.56662312400879677</c:v>
                </c:pt>
                <c:pt idx="98">
                  <c:v>0.572463310290107</c:v>
                </c:pt>
                <c:pt idx="99">
                  <c:v>0.57830349657141722</c:v>
                </c:pt>
              </c:numCache>
            </c:numRef>
          </c:xVal>
          <c:yVal>
            <c:numRef>
              <c:f>Calc_Area!$I$108:$I$207</c:f>
              <c:numCache>
                <c:formatCode>General</c:formatCode>
                <c:ptCount val="100"/>
                <c:pt idx="0">
                  <c:v>1E-3</c:v>
                </c:pt>
                <c:pt idx="1">
                  <c:v>4.6737371996685935E-2</c:v>
                </c:pt>
                <c:pt idx="2">
                  <c:v>9.063190102995787E-2</c:v>
                </c:pt>
                <c:pt idx="3">
                  <c:v>0.13274760133889282</c:v>
                </c:pt>
                <c:pt idx="4">
                  <c:v>0.17314662328974822</c:v>
                </c:pt>
                <c:pt idx="5">
                  <c:v>0.21188929704700329</c:v>
                </c:pt>
                <c:pt idx="6">
                  <c:v>0.24903417547244022</c:v>
                </c:pt>
                <c:pt idx="7">
                  <c:v>0.28463807626141674</c:v>
                </c:pt>
                <c:pt idx="8">
                  <c:v>0.31875612332542702</c:v>
                </c:pt>
                <c:pt idx="9">
                  <c:v>0.35144178742999227</c:v>
                </c:pt>
                <c:pt idx="10">
                  <c:v>0.38274692609686972</c:v>
                </c:pt>
                <c:pt idx="11">
                  <c:v>0.41272182277951208</c:v>
                </c:pt>
                <c:pt idx="12">
                  <c:v>0.44141522532065658</c:v>
                </c:pt>
                <c:pt idx="13">
                  <c:v>0.46887438370086681</c:v>
                </c:pt>
                <c:pt idx="14">
                  <c:v>0.49514508708679739</c:v>
                </c:pt>
                <c:pt idx="15">
                  <c:v>0.52027170018789604</c:v>
                </c:pt>
                <c:pt idx="16">
                  <c:v>0.54429719893020334</c:v>
                </c:pt>
                <c:pt idx="17">
                  <c:v>0.56726320545585418</c:v>
                </c:pt>
                <c:pt idx="18">
                  <c:v>0.58921002245683551</c:v>
                </c:pt>
                <c:pt idx="19">
                  <c:v>0.61017666685149297</c:v>
                </c:pt>
                <c:pt idx="20">
                  <c:v>0.63020090281223118</c:v>
                </c:pt>
                <c:pt idx="21">
                  <c:v>0.64931927415279356</c:v>
                </c:pt>
                <c:pt idx="22">
                  <c:v>0.66756713608345464</c:v>
                </c:pt>
                <c:pt idx="23">
                  <c:v>0.684978686342403</c:v>
                </c:pt>
                <c:pt idx="24">
                  <c:v>0.70158699571154048</c:v>
                </c:pt>
                <c:pt idx="25">
                  <c:v>0.71742403792486331</c:v>
                </c:pt>
                <c:pt idx="26">
                  <c:v>0.73252071897754167</c:v>
                </c:pt>
                <c:pt idx="27">
                  <c:v>0.74690690584375841</c:v>
                </c:pt>
                <c:pt idx="28">
                  <c:v>0.76061145461130919</c:v>
                </c:pt>
                <c:pt idx="29">
                  <c:v>0.77366223804092027</c:v>
                </c:pt>
                <c:pt idx="30">
                  <c:v>0.78608617255817359</c:v>
                </c:pt>
                <c:pt idx="31">
                  <c:v>0.79790924468588531</c:v>
                </c:pt>
                <c:pt idx="32">
                  <c:v>0.80915653692472478</c:v>
                </c:pt>
                <c:pt idx="33">
                  <c:v>0.81985225308980358</c:v>
                </c:pt>
                <c:pt idx="34">
                  <c:v>0.83001974311091575</c:v>
                </c:pt>
                <c:pt idx="35">
                  <c:v>0.8396815273040511</c:v>
                </c:pt>
                <c:pt idx="36">
                  <c:v>0.84885932012174914</c:v>
                </c:pt>
                <c:pt idx="37">
                  <c:v>0.85757405338981241</c:v>
                </c:pt>
                <c:pt idx="38">
                  <c:v>0.86584589903783327</c:v>
                </c:pt>
                <c:pt idx="39">
                  <c:v>0.87369429133094223</c:v>
                </c:pt>
                <c:pt idx="40">
                  <c:v>0.88113794861013039</c:v>
                </c:pt>
                <c:pt idx="41">
                  <c:v>0.88819489454843636</c:v>
                </c:pt>
                <c:pt idx="42">
                  <c:v>0.8948824789302452</c:v>
                </c:pt>
                <c:pt idx="43">
                  <c:v>0.90121739796088174</c:v>
                </c:pt>
                <c:pt idx="44">
                  <c:v>0.90721571411363322</c:v>
                </c:pt>
                <c:pt idx="45">
                  <c:v>0.91289287552127774</c:v>
                </c:pt>
                <c:pt idx="46">
                  <c:v>0.91826373491914226</c:v>
                </c:pt>
                <c:pt idx="47">
                  <c:v>0.92334256814665816</c:v>
                </c:pt>
                <c:pt idx="48">
                  <c:v>0.92814309221432922</c:v>
                </c:pt>
                <c:pt idx="49">
                  <c:v>0.93267848294297073</c:v>
                </c:pt>
                <c:pt idx="50">
                  <c:v>0.93696139218202446</c:v>
                </c:pt>
                <c:pt idx="51">
                  <c:v>0.94100396461370162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BE-4EFB-8666-835A19B9D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554272"/>
        <c:axId val="256554664"/>
      </c:scatterChart>
      <c:valAx>
        <c:axId val="25655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256554664"/>
        <c:crosses val="autoZero"/>
        <c:crossBetween val="midCat"/>
      </c:valAx>
      <c:valAx>
        <c:axId val="256554664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256554272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Calc_Area!$P$112:$P$118</c:f>
              <c:strCache>
                <c:ptCount val="7"/>
                <c:pt idx="0">
                  <c:v>0.0</c:v>
                </c:pt>
                <c:pt idx="3">
                  <c:v>0.5</c:v>
                </c:pt>
                <c:pt idx="6">
                  <c:v>1.0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Calc_Area!$P$112:$P$118</c:f>
              <c:numCache>
                <c:formatCode>General</c:formatCode>
                <c:ptCount val="7"/>
                <c:pt idx="0" formatCode="0.0">
                  <c:v>0</c:v>
                </c:pt>
                <c:pt idx="3" formatCode="0.0">
                  <c:v>0.5</c:v>
                </c:pt>
                <c:pt idx="6" formatCode="0.0">
                  <c:v>1</c:v>
                </c:pt>
              </c:numCache>
            </c:numRef>
          </c:cat>
          <c:val>
            <c:numRef>
              <c:f>Calc_Area!$N$112:$N$118</c:f>
              <c:numCache>
                <c:formatCode>General</c:formatCode>
                <c:ptCount val="7"/>
                <c:pt idx="0">
                  <c:v>76</c:v>
                </c:pt>
                <c:pt idx="1">
                  <c:v>19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5-4434-99E6-EEF299938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6226376"/>
        <c:axId val="256555448"/>
      </c:barChart>
      <c:catAx>
        <c:axId val="25622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6555448"/>
        <c:crosses val="autoZero"/>
        <c:auto val="0"/>
        <c:lblAlgn val="ctr"/>
        <c:lblOffset val="100"/>
        <c:tickMarkSkip val="6"/>
        <c:noMultiLvlLbl val="0"/>
      </c:catAx>
      <c:valAx>
        <c:axId val="256555448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6226376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Posterior when using the Jeffreys Prior</a:t>
            </a:r>
            <a:endParaRPr lang="en-US" sz="14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'Bayes-Binomial'!$E$25</c:f>
                <c:numCache>
                  <c:formatCode>General</c:formatCode>
                  <c:ptCount val="1"/>
                  <c:pt idx="0">
                    <c:v>9.4946562218475417E-2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'Bayes-Binomial'!$F$24</c:f>
              <c:numCache>
                <c:formatCode>0.00E+00</c:formatCode>
                <c:ptCount val="1"/>
                <c:pt idx="0">
                  <c:v>0.19014066115141826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29-4FCC-AF32-9C9AD15CE519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'Bayes-Binomial'!$F$23</c:f>
              <c:numCache>
                <c:formatCode>0.00E+00</c:formatCode>
                <c:ptCount val="1"/>
                <c:pt idx="0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29-4FCC-AF32-9C9AD15CE519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'Bayes-Binomial'!$G$21</c:f>
                <c:numCache>
                  <c:formatCode>General</c:formatCode>
                  <c:ptCount val="1"/>
                  <c:pt idx="0">
                    <c:v>4.24351822158286E-2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'Bayes-Binomial'!$F$22</c:f>
              <c:numCache>
                <c:formatCode>0.00E+00</c:formatCode>
                <c:ptCount val="1"/>
                <c:pt idx="0">
                  <c:v>6.0327170271576434E-2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29-4FCC-AF32-9C9AD15CE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124416"/>
        <c:axId val="206124808"/>
      </c:barChart>
      <c:catAx>
        <c:axId val="206124416"/>
        <c:scaling>
          <c:orientation val="minMax"/>
        </c:scaling>
        <c:delete val="1"/>
        <c:axPos val="l"/>
        <c:majorTickMark val="out"/>
        <c:minorTickMark val="none"/>
        <c:tickLblPos val="none"/>
        <c:crossAx val="206124808"/>
        <c:crosses val="autoZero"/>
        <c:auto val="1"/>
        <c:lblAlgn val="ctr"/>
        <c:lblOffset val="100"/>
        <c:noMultiLvlLbl val="0"/>
      </c:catAx>
      <c:valAx>
        <c:axId val="206124808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061244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05"/>
          <c:h val="0.7793956160885362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  <a:prstDash val="sysDot"/>
              </a:ln>
            </c:spPr>
          </c:errBars>
          <c:xVal>
            <c:numRef>
              <c:f>Calc_Area!$E$725:$E$749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Calc_Area!$G$725:$G$749</c:f>
              <c:numCache>
                <c:formatCode>General</c:formatCode>
                <c:ptCount val="25"/>
                <c:pt idx="0">
                  <c:v>0.95099004990000002</c:v>
                </c:pt>
                <c:pt idx="1">
                  <c:v>0.95099004990000002</c:v>
                </c:pt>
                <c:pt idx="2">
                  <c:v>0.95099004990000002</c:v>
                </c:pt>
                <c:pt idx="3">
                  <c:v>0.95099004990000002</c:v>
                </c:pt>
                <c:pt idx="4">
                  <c:v>0.95099004990000002</c:v>
                </c:pt>
                <c:pt idx="5">
                  <c:v>0.95099004990000002</c:v>
                </c:pt>
                <c:pt idx="6">
                  <c:v>0.95099004990000002</c:v>
                </c:pt>
                <c:pt idx="7">
                  <c:v>0.95099004990000002</c:v>
                </c:pt>
                <c:pt idx="8">
                  <c:v>0.95099004990000002</c:v>
                </c:pt>
                <c:pt idx="9">
                  <c:v>0.95099004990000002</c:v>
                </c:pt>
                <c:pt idx="10">
                  <c:v>0.95099004990000002</c:v>
                </c:pt>
                <c:pt idx="11">
                  <c:v>0.95099004990000002</c:v>
                </c:pt>
                <c:pt idx="12">
                  <c:v>0.95099004990000002</c:v>
                </c:pt>
                <c:pt idx="13">
                  <c:v>0.95099004990000002</c:v>
                </c:pt>
                <c:pt idx="14">
                  <c:v>0.95099004990000002</c:v>
                </c:pt>
                <c:pt idx="15">
                  <c:v>0.95099004990000002</c:v>
                </c:pt>
                <c:pt idx="16">
                  <c:v>0.95099004990000002</c:v>
                </c:pt>
                <c:pt idx="17">
                  <c:v>0.95099004990000002</c:v>
                </c:pt>
                <c:pt idx="18">
                  <c:v>0.95099004990000002</c:v>
                </c:pt>
                <c:pt idx="19">
                  <c:v>0.95099004990000002</c:v>
                </c:pt>
                <c:pt idx="20">
                  <c:v>0.95099004990000002</c:v>
                </c:pt>
                <c:pt idx="21">
                  <c:v>4.8029800499999997E-2</c:v>
                </c:pt>
                <c:pt idx="22">
                  <c:v>4.8029800499999997E-2</c:v>
                </c:pt>
                <c:pt idx="23">
                  <c:v>4.8029800499999997E-2</c:v>
                </c:pt>
                <c:pt idx="24">
                  <c:v>4.8029800499999997E-2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38-46DD-99F0-0263EEB0323B}"/>
            </c:ext>
          </c:extLst>
        </c:ser>
        <c:ser>
          <c:idx val="1"/>
          <c:order val="1"/>
          <c:spPr>
            <a:ln w="25400">
              <a:noFill/>
              <a:prstDash val="sysDot"/>
            </a:ln>
          </c:spPr>
          <c:marker>
            <c:symbol val="square"/>
            <c:size val="5"/>
          </c:marker>
          <c:errBars>
            <c:errDir val="y"/>
            <c:errBarType val="minus"/>
            <c:errValType val="percentage"/>
            <c:noEndCap val="0"/>
            <c:val val="100"/>
            <c:spPr>
              <a:ln w="19050">
                <a:solidFill>
                  <a:schemeClr val="accent2"/>
                </a:solidFill>
                <a:prstDash val="sysDot"/>
              </a:ln>
            </c:spPr>
          </c:errBars>
          <c:xVal>
            <c:numRef>
              <c:f>Calc_Area!$E$725:$E$749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Calc_Area!$F$725:$F$749</c:f>
              <c:numCache>
                <c:formatCode>General</c:formatCode>
                <c:ptCount val="25"/>
                <c:pt idx="0">
                  <c:v>0.95099004990000002</c:v>
                </c:pt>
                <c:pt idx="1">
                  <c:v>0.95099004990000002</c:v>
                </c:pt>
                <c:pt idx="2">
                  <c:v>0.95099004990000002</c:v>
                </c:pt>
                <c:pt idx="3">
                  <c:v>0.95099004990000002</c:v>
                </c:pt>
                <c:pt idx="4">
                  <c:v>0.95099004990000002</c:v>
                </c:pt>
                <c:pt idx="5">
                  <c:v>0.95099004990000002</c:v>
                </c:pt>
                <c:pt idx="6">
                  <c:v>0.95099004990000002</c:v>
                </c:pt>
                <c:pt idx="7">
                  <c:v>0.95099004990000002</c:v>
                </c:pt>
                <c:pt idx="8">
                  <c:v>0.95099004990000002</c:v>
                </c:pt>
                <c:pt idx="9">
                  <c:v>0.95099004990000002</c:v>
                </c:pt>
                <c:pt idx="10">
                  <c:v>0.95099004990000002</c:v>
                </c:pt>
                <c:pt idx="11">
                  <c:v>0.95099004990000002</c:v>
                </c:pt>
                <c:pt idx="12">
                  <c:v>0.95099004990000002</c:v>
                </c:pt>
                <c:pt idx="13">
                  <c:v>0.95099004990000002</c:v>
                </c:pt>
                <c:pt idx="14">
                  <c:v>0.95099004990000002</c:v>
                </c:pt>
                <c:pt idx="15">
                  <c:v>0.95099004990000002</c:v>
                </c:pt>
                <c:pt idx="16">
                  <c:v>0.95099004990000002</c:v>
                </c:pt>
                <c:pt idx="17">
                  <c:v>0.95099004990000002</c:v>
                </c:pt>
                <c:pt idx="18">
                  <c:v>0.95099004990000002</c:v>
                </c:pt>
                <c:pt idx="19">
                  <c:v>0.95099004990000002</c:v>
                </c:pt>
                <c:pt idx="20">
                  <c:v>0.95099004990000002</c:v>
                </c:pt>
                <c:pt idx="21">
                  <c:v>4.8029800499999997E-2</c:v>
                </c:pt>
                <c:pt idx="22">
                  <c:v>4.8029800499999997E-2</c:v>
                </c:pt>
                <c:pt idx="23">
                  <c:v>4.8029800499999997E-2</c:v>
                </c:pt>
                <c:pt idx="24">
                  <c:v>4.8029800499999997E-2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38-46DD-99F0-0263EEB03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320632"/>
        <c:axId val="256320240"/>
      </c:scatterChart>
      <c:valAx>
        <c:axId val="25632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General" sourceLinked="0"/>
        <c:majorTickMark val="cross"/>
        <c:minorTickMark val="in"/>
        <c:tickLblPos val="nextTo"/>
        <c:spPr>
          <a:noFill/>
        </c:spPr>
        <c:crossAx val="256320240"/>
        <c:crosses val="autoZero"/>
        <c:crossBetween val="midCat"/>
      </c:valAx>
      <c:valAx>
        <c:axId val="256320240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low"/>
        <c:spPr>
          <a:noFill/>
        </c:spPr>
        <c:crossAx val="256320632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38"/>
          <c:h val="0.77939561608853702"/>
        </c:manualLayout>
      </c:layout>
      <c:scatterChart>
        <c:scatterStyle val="smoothMarker"/>
        <c:varyColors val="0"/>
        <c:ser>
          <c:idx val="1"/>
          <c:order val="0"/>
          <c:spPr>
            <a:ln w="25400">
              <a:noFill/>
              <a:prstDash val="sysDot"/>
            </a:ln>
          </c:spPr>
          <c:marker>
            <c:symbol val="square"/>
            <c:size val="5"/>
          </c:marker>
          <c:errBars>
            <c:errDir val="y"/>
            <c:errBarType val="minus"/>
            <c:errValType val="percentage"/>
            <c:noEndCap val="0"/>
            <c:val val="100"/>
            <c:spPr>
              <a:ln w="19050">
                <a:solidFill>
                  <a:schemeClr val="accent2"/>
                </a:solidFill>
                <a:prstDash val="sysDot"/>
              </a:ln>
            </c:spPr>
          </c:errBars>
          <c:xVal>
            <c:numRef>
              <c:f>Calc_Area!$E$725:$E$749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Calc_Area!$H$725:$H$749</c:f>
              <c:numCache>
                <c:formatCode>General</c:formatCode>
                <c:ptCount val="25"/>
                <c:pt idx="0">
                  <c:v>0.95099004990000002</c:v>
                </c:pt>
                <c:pt idx="1">
                  <c:v>0.95099004990000002</c:v>
                </c:pt>
                <c:pt idx="2">
                  <c:v>0.95099004990000002</c:v>
                </c:pt>
                <c:pt idx="3">
                  <c:v>0.95099004990000002</c:v>
                </c:pt>
                <c:pt idx="4">
                  <c:v>0.95099004990000002</c:v>
                </c:pt>
                <c:pt idx="5">
                  <c:v>0.95099004990000002</c:v>
                </c:pt>
                <c:pt idx="6">
                  <c:v>0.95099004990000002</c:v>
                </c:pt>
                <c:pt idx="7">
                  <c:v>0.95099004990000002</c:v>
                </c:pt>
                <c:pt idx="8">
                  <c:v>0.95099004990000002</c:v>
                </c:pt>
                <c:pt idx="9">
                  <c:v>0.95099004990000002</c:v>
                </c:pt>
                <c:pt idx="10">
                  <c:v>0.95099004990000002</c:v>
                </c:pt>
                <c:pt idx="11">
                  <c:v>0.95099004990000002</c:v>
                </c:pt>
                <c:pt idx="12">
                  <c:v>0.95099004990000002</c:v>
                </c:pt>
                <c:pt idx="13">
                  <c:v>0.95099004990000002</c:v>
                </c:pt>
                <c:pt idx="14">
                  <c:v>0.95099004990000002</c:v>
                </c:pt>
                <c:pt idx="15">
                  <c:v>0.95099004990000002</c:v>
                </c:pt>
                <c:pt idx="16">
                  <c:v>0.95099004990000002</c:v>
                </c:pt>
                <c:pt idx="17">
                  <c:v>0.95099004990000002</c:v>
                </c:pt>
                <c:pt idx="18">
                  <c:v>0.95099004990000002</c:v>
                </c:pt>
                <c:pt idx="19">
                  <c:v>0.95099004990000002</c:v>
                </c:pt>
                <c:pt idx="20">
                  <c:v>0.95099004990000002</c:v>
                </c:pt>
                <c:pt idx="21">
                  <c:v>0.99901985040000008</c:v>
                </c:pt>
                <c:pt idx="22">
                  <c:v>0.99901985040000008</c:v>
                </c:pt>
                <c:pt idx="23">
                  <c:v>0.99901985040000008</c:v>
                </c:pt>
                <c:pt idx="24">
                  <c:v>0.99901985040000008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57-470B-8882-3F34C3EA2BAA}"/>
            </c:ext>
          </c:extLst>
        </c:ser>
        <c:ser>
          <c:idx val="0"/>
          <c:order val="1"/>
          <c:spPr>
            <a:ln w="76200">
              <a:noFill/>
              <a:prstDash val="sysDot"/>
            </a:ln>
          </c:spPr>
          <c:marker>
            <c:symbol val="none"/>
          </c:marker>
          <c:errBars>
            <c:errDir val="y"/>
            <c:errBarType val="minus"/>
            <c:errValType val="fixedVal"/>
            <c:noEndCap val="0"/>
            <c:val val="1"/>
            <c:spPr>
              <a:ln w="38100">
                <a:solidFill>
                  <a:srgbClr val="9BBB59">
                    <a:lumMod val="75000"/>
                  </a:srgbClr>
                </a:solidFill>
                <a:prstDash val="sysDot"/>
              </a:ln>
            </c:spPr>
          </c:errBars>
          <c:xVal>
            <c:numRef>
              <c:f>Calc_Area!$E$725:$E$749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Calc_Area!$I$725:$I$749</c:f>
              <c:numCache>
                <c:formatCode>General</c:formatCode>
                <c:ptCount val="25"/>
                <c:pt idx="0">
                  <c:v>0.95099004990000002</c:v>
                </c:pt>
                <c:pt idx="1">
                  <c:v>0.95099004990000002</c:v>
                </c:pt>
                <c:pt idx="2">
                  <c:v>0.95099004990000002</c:v>
                </c:pt>
                <c:pt idx="3">
                  <c:v>0.95099004990000002</c:v>
                </c:pt>
                <c:pt idx="4">
                  <c:v>0.95099004990000002</c:v>
                </c:pt>
                <c:pt idx="5">
                  <c:v>0.95099004990000002</c:v>
                </c:pt>
                <c:pt idx="6">
                  <c:v>0.95099004990000002</c:v>
                </c:pt>
                <c:pt idx="7">
                  <c:v>0.95099004990000002</c:v>
                </c:pt>
                <c:pt idx="8">
                  <c:v>0.95099004990000002</c:v>
                </c:pt>
                <c:pt idx="9">
                  <c:v>0.95099004990000002</c:v>
                </c:pt>
                <c:pt idx="10">
                  <c:v>0.95099004990000002</c:v>
                </c:pt>
                <c:pt idx="11">
                  <c:v>0.95099004990000002</c:v>
                </c:pt>
                <c:pt idx="12">
                  <c:v>0.95099004990000002</c:v>
                </c:pt>
                <c:pt idx="13">
                  <c:v>0.95099004990000002</c:v>
                </c:pt>
                <c:pt idx="14">
                  <c:v>0.95099004990000002</c:v>
                </c:pt>
                <c:pt idx="15">
                  <c:v>0.95099004990000002</c:v>
                </c:pt>
                <c:pt idx="16">
                  <c:v>0.95099004990000002</c:v>
                </c:pt>
                <c:pt idx="17">
                  <c:v>0.95099004990000002</c:v>
                </c:pt>
                <c:pt idx="18">
                  <c:v>0.95099004990000002</c:v>
                </c:pt>
                <c:pt idx="19">
                  <c:v>0.95099004990000002</c:v>
                </c:pt>
                <c:pt idx="20">
                  <c:v>0.95099004990000002</c:v>
                </c:pt>
                <c:pt idx="21">
                  <c:v>0.99901985040000008</c:v>
                </c:pt>
                <c:pt idx="22">
                  <c:v>0.99901985040000008</c:v>
                </c:pt>
                <c:pt idx="23">
                  <c:v>0.99901985040000008</c:v>
                </c:pt>
                <c:pt idx="24">
                  <c:v>0.99901985040000008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57-470B-8882-3F34C3EA2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319456"/>
        <c:axId val="257351136"/>
      </c:scatterChart>
      <c:valAx>
        <c:axId val="256319456"/>
        <c:scaling>
          <c:orientation val="minMax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7351136"/>
        <c:crosses val="autoZero"/>
        <c:crossBetween val="midCat"/>
        <c:minorUnit val="1"/>
      </c:valAx>
      <c:valAx>
        <c:axId val="257351136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low"/>
        <c:spPr>
          <a:noFill/>
        </c:spPr>
        <c:crossAx val="256319456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Calc_Area!$P$729:$P$737</c:f>
              <c:strCache>
                <c:ptCount val="9"/>
                <c:pt idx="0">
                  <c:v>0.0</c:v>
                </c:pt>
                <c:pt idx="4">
                  <c:v>3.0</c:v>
                </c:pt>
                <c:pt idx="8">
                  <c:v>8.7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Calc_Area!$P$729:$P$737</c:f>
              <c:numCache>
                <c:formatCode>General</c:formatCode>
                <c:ptCount val="9"/>
                <c:pt idx="0" formatCode="0.0">
                  <c:v>0</c:v>
                </c:pt>
                <c:pt idx="4" formatCode="0.0">
                  <c:v>3</c:v>
                </c:pt>
                <c:pt idx="8" formatCode="0.0">
                  <c:v>8.7107728387143766</c:v>
                </c:pt>
              </c:numCache>
            </c:numRef>
          </c:cat>
          <c:val>
            <c:numRef>
              <c:f>Calc_Area!$N$729:$N$737</c:f>
              <c:numCache>
                <c:formatCode>General</c:formatCode>
                <c:ptCount val="9"/>
                <c:pt idx="0">
                  <c:v>102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0-4C56-AB79-F7762B620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7351920"/>
        <c:axId val="257352312"/>
      </c:barChart>
      <c:catAx>
        <c:axId val="25735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7352312"/>
        <c:crosses val="autoZero"/>
        <c:auto val="0"/>
        <c:lblAlgn val="ctr"/>
        <c:lblOffset val="100"/>
        <c:tickMarkSkip val="6"/>
        <c:noMultiLvlLbl val="0"/>
      </c:catAx>
      <c:valAx>
        <c:axId val="257352312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7351920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72"/>
          <c:h val="0.7793956160885378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Calc_Area!$E$521:$E$620</c:f>
              <c:numCache>
                <c:formatCode>0.000</c:formatCode>
                <c:ptCount val="100"/>
                <c:pt idx="0">
                  <c:v>0.39206365188721559</c:v>
                </c:pt>
                <c:pt idx="1">
                  <c:v>2.1981084776289084</c:v>
                </c:pt>
                <c:pt idx="2">
                  <c:v>4.0041533033706012</c:v>
                </c:pt>
                <c:pt idx="3">
                  <c:v>5.8101981291122939</c:v>
                </c:pt>
                <c:pt idx="4">
                  <c:v>7.6162429548539867</c:v>
                </c:pt>
                <c:pt idx="5">
                  <c:v>9.4222877805956795</c:v>
                </c:pt>
                <c:pt idx="6">
                  <c:v>11.228332606337373</c:v>
                </c:pt>
                <c:pt idx="7">
                  <c:v>13.034377432079067</c:v>
                </c:pt>
                <c:pt idx="8">
                  <c:v>14.840422257820761</c:v>
                </c:pt>
                <c:pt idx="9">
                  <c:v>16.646467083562452</c:v>
                </c:pt>
                <c:pt idx="10">
                  <c:v>18.452511909304146</c:v>
                </c:pt>
                <c:pt idx="11">
                  <c:v>20.25855673504584</c:v>
                </c:pt>
                <c:pt idx="12">
                  <c:v>22.064601560787533</c:v>
                </c:pt>
                <c:pt idx="13">
                  <c:v>23.870646386529227</c:v>
                </c:pt>
                <c:pt idx="14">
                  <c:v>25.676691212270921</c:v>
                </c:pt>
                <c:pt idx="15">
                  <c:v>27.482736038012614</c:v>
                </c:pt>
                <c:pt idx="16">
                  <c:v>29.288780863754308</c:v>
                </c:pt>
                <c:pt idx="17">
                  <c:v>31.094825689496002</c:v>
                </c:pt>
                <c:pt idx="18">
                  <c:v>32.900870515237692</c:v>
                </c:pt>
                <c:pt idx="19">
                  <c:v>34.706915340979386</c:v>
                </c:pt>
                <c:pt idx="20">
                  <c:v>36.512960166721079</c:v>
                </c:pt>
                <c:pt idx="21">
                  <c:v>38.319004992462773</c:v>
                </c:pt>
                <c:pt idx="22">
                  <c:v>40.125049818204467</c:v>
                </c:pt>
                <c:pt idx="23">
                  <c:v>41.93109464394616</c:v>
                </c:pt>
                <c:pt idx="24">
                  <c:v>43.737139469687854</c:v>
                </c:pt>
                <c:pt idx="25">
                  <c:v>45.543184295429548</c:v>
                </c:pt>
                <c:pt idx="26">
                  <c:v>47.349229121171241</c:v>
                </c:pt>
                <c:pt idx="27">
                  <c:v>49.155273946912935</c:v>
                </c:pt>
                <c:pt idx="28">
                  <c:v>50.961318772654629</c:v>
                </c:pt>
                <c:pt idx="29">
                  <c:v>52.767363598396322</c:v>
                </c:pt>
                <c:pt idx="30">
                  <c:v>54.573408424138016</c:v>
                </c:pt>
                <c:pt idx="31">
                  <c:v>56.37945324987971</c:v>
                </c:pt>
                <c:pt idx="32">
                  <c:v>58.185498075621403</c:v>
                </c:pt>
                <c:pt idx="33">
                  <c:v>59.991542901363097</c:v>
                </c:pt>
                <c:pt idx="34">
                  <c:v>61.797587727104791</c:v>
                </c:pt>
                <c:pt idx="35">
                  <c:v>63.603632552846484</c:v>
                </c:pt>
                <c:pt idx="36">
                  <c:v>65.409677378588171</c:v>
                </c:pt>
                <c:pt idx="37">
                  <c:v>67.215722204329865</c:v>
                </c:pt>
                <c:pt idx="38">
                  <c:v>69.021767030071558</c:v>
                </c:pt>
                <c:pt idx="39">
                  <c:v>70.827811855813252</c:v>
                </c:pt>
                <c:pt idx="40">
                  <c:v>72.633856681554946</c:v>
                </c:pt>
                <c:pt idx="41">
                  <c:v>74.439901507296639</c:v>
                </c:pt>
                <c:pt idx="42">
                  <c:v>76.245946333038333</c:v>
                </c:pt>
                <c:pt idx="43">
                  <c:v>78.051991158780027</c:v>
                </c:pt>
                <c:pt idx="44">
                  <c:v>79.85803598452172</c:v>
                </c:pt>
                <c:pt idx="45">
                  <c:v>81.664080810263414</c:v>
                </c:pt>
                <c:pt idx="46">
                  <c:v>83.470125636005108</c:v>
                </c:pt>
                <c:pt idx="47">
                  <c:v>85.276170461746801</c:v>
                </c:pt>
                <c:pt idx="48">
                  <c:v>87.082215287488495</c:v>
                </c:pt>
                <c:pt idx="49">
                  <c:v>88.888260113230189</c:v>
                </c:pt>
                <c:pt idx="50">
                  <c:v>90.694304938971882</c:v>
                </c:pt>
                <c:pt idx="51">
                  <c:v>92.500349764713576</c:v>
                </c:pt>
                <c:pt idx="52">
                  <c:v>94.30639459045527</c:v>
                </c:pt>
                <c:pt idx="53">
                  <c:v>96.112439416196963</c:v>
                </c:pt>
                <c:pt idx="54">
                  <c:v>97.918484241938657</c:v>
                </c:pt>
                <c:pt idx="55">
                  <c:v>99.724529067680351</c:v>
                </c:pt>
                <c:pt idx="56">
                  <c:v>101.53057389342204</c:v>
                </c:pt>
                <c:pt idx="57">
                  <c:v>103.33661871916374</c:v>
                </c:pt>
                <c:pt idx="58">
                  <c:v>105.14266354490543</c:v>
                </c:pt>
                <c:pt idx="59">
                  <c:v>106.94870837064713</c:v>
                </c:pt>
                <c:pt idx="60">
                  <c:v>108.75475319638882</c:v>
                </c:pt>
                <c:pt idx="61">
                  <c:v>110.56079802213051</c:v>
                </c:pt>
                <c:pt idx="62">
                  <c:v>112.36684284787221</c:v>
                </c:pt>
                <c:pt idx="63">
                  <c:v>114.1728876736139</c:v>
                </c:pt>
                <c:pt idx="64">
                  <c:v>115.97893249935559</c:v>
                </c:pt>
                <c:pt idx="65">
                  <c:v>117.78497732509729</c:v>
                </c:pt>
                <c:pt idx="66">
                  <c:v>119.59102215083898</c:v>
                </c:pt>
                <c:pt idx="67">
                  <c:v>121.39706697658067</c:v>
                </c:pt>
                <c:pt idx="68">
                  <c:v>123.20311180232237</c:v>
                </c:pt>
                <c:pt idx="69">
                  <c:v>125.00915662806406</c:v>
                </c:pt>
                <c:pt idx="70">
                  <c:v>126.81520145380576</c:v>
                </c:pt>
                <c:pt idx="71">
                  <c:v>128.62124627954745</c:v>
                </c:pt>
                <c:pt idx="72">
                  <c:v>130.42729110528913</c:v>
                </c:pt>
                <c:pt idx="73">
                  <c:v>132.23333593103081</c:v>
                </c:pt>
                <c:pt idx="74">
                  <c:v>134.03938075677249</c:v>
                </c:pt>
                <c:pt idx="75">
                  <c:v>135.84542558251417</c:v>
                </c:pt>
                <c:pt idx="76">
                  <c:v>137.65147040825585</c:v>
                </c:pt>
                <c:pt idx="77">
                  <c:v>139.45751523399753</c:v>
                </c:pt>
                <c:pt idx="78">
                  <c:v>141.26356005973921</c:v>
                </c:pt>
                <c:pt idx="79">
                  <c:v>143.06960488548089</c:v>
                </c:pt>
                <c:pt idx="80">
                  <c:v>144.87564971122256</c:v>
                </c:pt>
                <c:pt idx="81">
                  <c:v>146.68169453696424</c:v>
                </c:pt>
                <c:pt idx="82">
                  <c:v>148.48773936270592</c:v>
                </c:pt>
                <c:pt idx="83">
                  <c:v>150.2937841884476</c:v>
                </c:pt>
                <c:pt idx="84">
                  <c:v>152.09982901418928</c:v>
                </c:pt>
                <c:pt idx="85">
                  <c:v>153.90587383993096</c:v>
                </c:pt>
                <c:pt idx="86">
                  <c:v>155.71191866567264</c:v>
                </c:pt>
                <c:pt idx="87">
                  <c:v>157.51796349141432</c:v>
                </c:pt>
                <c:pt idx="88">
                  <c:v>159.324008317156</c:v>
                </c:pt>
                <c:pt idx="89">
                  <c:v>161.13005314289768</c:v>
                </c:pt>
                <c:pt idx="90">
                  <c:v>162.93609796863936</c:v>
                </c:pt>
                <c:pt idx="91">
                  <c:v>164.74214279438104</c:v>
                </c:pt>
                <c:pt idx="92">
                  <c:v>166.54818762012272</c:v>
                </c:pt>
                <c:pt idx="93">
                  <c:v>168.3542324458644</c:v>
                </c:pt>
                <c:pt idx="94">
                  <c:v>170.16027727160608</c:v>
                </c:pt>
                <c:pt idx="95">
                  <c:v>171.96632209734776</c:v>
                </c:pt>
                <c:pt idx="96">
                  <c:v>173.77236692308944</c:v>
                </c:pt>
                <c:pt idx="97">
                  <c:v>175.57841174883112</c:v>
                </c:pt>
                <c:pt idx="98">
                  <c:v>177.38445657457279</c:v>
                </c:pt>
                <c:pt idx="99">
                  <c:v>179.19050140031447</c:v>
                </c:pt>
              </c:numCache>
            </c:numRef>
          </c:xVal>
          <c:yVal>
            <c:numRef>
              <c:f>Calc_Area!$G$521:$G$620</c:f>
              <c:numCache>
                <c:formatCode>General</c:formatCode>
                <c:ptCount val="100"/>
                <c:pt idx="0">
                  <c:v>2.5442346123302356E-2</c:v>
                </c:pt>
                <c:pt idx="1">
                  <c:v>2.4288417825513386E-2</c:v>
                </c:pt>
                <c:pt idx="2">
                  <c:v>2.318682552339028E-2</c:v>
                </c:pt>
                <c:pt idx="3">
                  <c:v>2.2135195537001964E-2</c:v>
                </c:pt>
                <c:pt idx="4">
                  <c:v>2.1131261843802009E-2</c:v>
                </c:pt>
                <c:pt idx="5">
                  <c:v>2.0172861195867333E-2</c:v>
                </c:pt>
                <c:pt idx="6">
                  <c:v>1.9257928458592755E-2</c:v>
                </c:pt>
                <c:pt idx="7">
                  <c:v>1.8384492160797388E-2</c:v>
                </c:pt>
                <c:pt idx="8">
                  <c:v>1.7550670246654281E-2</c:v>
                </c:pt>
                <c:pt idx="9">
                  <c:v>1.6754666020289782E-2</c:v>
                </c:pt>
                <c:pt idx="10">
                  <c:v>1.5994764274314083E-2</c:v>
                </c:pt>
                <c:pt idx="11">
                  <c:v>1.5269327593940861E-2</c:v>
                </c:pt>
                <c:pt idx="12">
                  <c:v>1.457679282873222E-2</c:v>
                </c:pt>
                <c:pt idx="13">
                  <c:v>1.3915667724366336E-2</c:v>
                </c:pt>
                <c:pt idx="14">
                  <c:v>1.3284527707170051E-2</c:v>
                </c:pt>
                <c:pt idx="15">
                  <c:v>1.2682012814487846E-2</c:v>
                </c:pt>
                <c:pt idx="16">
                  <c:v>1.2106824764272757E-2</c:v>
                </c:pt>
                <c:pt idx="17">
                  <c:v>1.1557724157584949E-2</c:v>
                </c:pt>
                <c:pt idx="18">
                  <c:v>1.1033527807969953E-2</c:v>
                </c:pt>
                <c:pt idx="19">
                  <c:v>1.0533106191961948E-2</c:v>
                </c:pt>
                <c:pt idx="20">
                  <c:v>1.0055381015218563E-2</c:v>
                </c:pt>
                <c:pt idx="21">
                  <c:v>9.5993228890427166E-3</c:v>
                </c:pt>
                <c:pt idx="22">
                  <c:v>9.163949112284981E-3</c:v>
                </c:pt>
                <c:pt idx="23">
                  <c:v>8.7483215538469421E-3</c:v>
                </c:pt>
                <c:pt idx="24">
                  <c:v>8.3515446312228438E-3</c:v>
                </c:pt>
                <c:pt idx="25">
                  <c:v>7.9727633807237398E-3</c:v>
                </c:pt>
                <c:pt idx="26">
                  <c:v>7.6111616152259214E-3</c:v>
                </c:pt>
                <c:pt idx="27">
                  <c:v>7.2659601654739923E-3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A0-40D8-A4D9-BA5332E5ED88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Calc_Area!$E$521:$E$620</c:f>
              <c:numCache>
                <c:formatCode>0.000</c:formatCode>
                <c:ptCount val="100"/>
                <c:pt idx="0">
                  <c:v>0.39206365188721559</c:v>
                </c:pt>
                <c:pt idx="1">
                  <c:v>2.1981084776289084</c:v>
                </c:pt>
                <c:pt idx="2">
                  <c:v>4.0041533033706012</c:v>
                </c:pt>
                <c:pt idx="3">
                  <c:v>5.8101981291122939</c:v>
                </c:pt>
                <c:pt idx="4">
                  <c:v>7.6162429548539867</c:v>
                </c:pt>
                <c:pt idx="5">
                  <c:v>9.4222877805956795</c:v>
                </c:pt>
                <c:pt idx="6">
                  <c:v>11.228332606337373</c:v>
                </c:pt>
                <c:pt idx="7">
                  <c:v>13.034377432079067</c:v>
                </c:pt>
                <c:pt idx="8">
                  <c:v>14.840422257820761</c:v>
                </c:pt>
                <c:pt idx="9">
                  <c:v>16.646467083562452</c:v>
                </c:pt>
                <c:pt idx="10">
                  <c:v>18.452511909304146</c:v>
                </c:pt>
                <c:pt idx="11">
                  <c:v>20.25855673504584</c:v>
                </c:pt>
                <c:pt idx="12">
                  <c:v>22.064601560787533</c:v>
                </c:pt>
                <c:pt idx="13">
                  <c:v>23.870646386529227</c:v>
                </c:pt>
                <c:pt idx="14">
                  <c:v>25.676691212270921</c:v>
                </c:pt>
                <c:pt idx="15">
                  <c:v>27.482736038012614</c:v>
                </c:pt>
                <c:pt idx="16">
                  <c:v>29.288780863754308</c:v>
                </c:pt>
                <c:pt idx="17">
                  <c:v>31.094825689496002</c:v>
                </c:pt>
                <c:pt idx="18">
                  <c:v>32.900870515237692</c:v>
                </c:pt>
                <c:pt idx="19">
                  <c:v>34.706915340979386</c:v>
                </c:pt>
                <c:pt idx="20">
                  <c:v>36.512960166721079</c:v>
                </c:pt>
                <c:pt idx="21">
                  <c:v>38.319004992462773</c:v>
                </c:pt>
                <c:pt idx="22">
                  <c:v>40.125049818204467</c:v>
                </c:pt>
                <c:pt idx="23">
                  <c:v>41.93109464394616</c:v>
                </c:pt>
                <c:pt idx="24">
                  <c:v>43.737139469687854</c:v>
                </c:pt>
                <c:pt idx="25">
                  <c:v>45.543184295429548</c:v>
                </c:pt>
                <c:pt idx="26">
                  <c:v>47.349229121171241</c:v>
                </c:pt>
                <c:pt idx="27">
                  <c:v>49.155273946912935</c:v>
                </c:pt>
                <c:pt idx="28">
                  <c:v>50.961318772654629</c:v>
                </c:pt>
                <c:pt idx="29">
                  <c:v>52.767363598396322</c:v>
                </c:pt>
                <c:pt idx="30">
                  <c:v>54.573408424138016</c:v>
                </c:pt>
                <c:pt idx="31">
                  <c:v>56.37945324987971</c:v>
                </c:pt>
                <c:pt idx="32">
                  <c:v>58.185498075621403</c:v>
                </c:pt>
                <c:pt idx="33">
                  <c:v>59.991542901363097</c:v>
                </c:pt>
                <c:pt idx="34">
                  <c:v>61.797587727104791</c:v>
                </c:pt>
                <c:pt idx="35">
                  <c:v>63.603632552846484</c:v>
                </c:pt>
                <c:pt idx="36">
                  <c:v>65.409677378588171</c:v>
                </c:pt>
                <c:pt idx="37">
                  <c:v>67.215722204329865</c:v>
                </c:pt>
                <c:pt idx="38">
                  <c:v>69.021767030071558</c:v>
                </c:pt>
                <c:pt idx="39">
                  <c:v>70.827811855813252</c:v>
                </c:pt>
                <c:pt idx="40">
                  <c:v>72.633856681554946</c:v>
                </c:pt>
                <c:pt idx="41">
                  <c:v>74.439901507296639</c:v>
                </c:pt>
                <c:pt idx="42">
                  <c:v>76.245946333038333</c:v>
                </c:pt>
                <c:pt idx="43">
                  <c:v>78.051991158780027</c:v>
                </c:pt>
                <c:pt idx="44">
                  <c:v>79.85803598452172</c:v>
                </c:pt>
                <c:pt idx="45">
                  <c:v>81.664080810263414</c:v>
                </c:pt>
                <c:pt idx="46">
                  <c:v>83.470125636005108</c:v>
                </c:pt>
                <c:pt idx="47">
                  <c:v>85.276170461746801</c:v>
                </c:pt>
                <c:pt idx="48">
                  <c:v>87.082215287488495</c:v>
                </c:pt>
                <c:pt idx="49">
                  <c:v>88.888260113230189</c:v>
                </c:pt>
                <c:pt idx="50">
                  <c:v>90.694304938971882</c:v>
                </c:pt>
                <c:pt idx="51">
                  <c:v>92.500349764713576</c:v>
                </c:pt>
                <c:pt idx="52">
                  <c:v>94.30639459045527</c:v>
                </c:pt>
                <c:pt idx="53">
                  <c:v>96.112439416196963</c:v>
                </c:pt>
                <c:pt idx="54">
                  <c:v>97.918484241938657</c:v>
                </c:pt>
                <c:pt idx="55">
                  <c:v>99.724529067680351</c:v>
                </c:pt>
                <c:pt idx="56">
                  <c:v>101.53057389342204</c:v>
                </c:pt>
                <c:pt idx="57">
                  <c:v>103.33661871916374</c:v>
                </c:pt>
                <c:pt idx="58">
                  <c:v>105.14266354490543</c:v>
                </c:pt>
                <c:pt idx="59">
                  <c:v>106.94870837064713</c:v>
                </c:pt>
                <c:pt idx="60">
                  <c:v>108.75475319638882</c:v>
                </c:pt>
                <c:pt idx="61">
                  <c:v>110.56079802213051</c:v>
                </c:pt>
                <c:pt idx="62">
                  <c:v>112.36684284787221</c:v>
                </c:pt>
                <c:pt idx="63">
                  <c:v>114.1728876736139</c:v>
                </c:pt>
                <c:pt idx="64">
                  <c:v>115.97893249935559</c:v>
                </c:pt>
                <c:pt idx="65">
                  <c:v>117.78497732509729</c:v>
                </c:pt>
                <c:pt idx="66">
                  <c:v>119.59102215083898</c:v>
                </c:pt>
                <c:pt idx="67">
                  <c:v>121.39706697658067</c:v>
                </c:pt>
                <c:pt idx="68">
                  <c:v>123.20311180232237</c:v>
                </c:pt>
                <c:pt idx="69">
                  <c:v>125.00915662806406</c:v>
                </c:pt>
                <c:pt idx="70">
                  <c:v>126.81520145380576</c:v>
                </c:pt>
                <c:pt idx="71">
                  <c:v>128.62124627954745</c:v>
                </c:pt>
                <c:pt idx="72">
                  <c:v>130.42729110528913</c:v>
                </c:pt>
                <c:pt idx="73">
                  <c:v>132.23333593103081</c:v>
                </c:pt>
                <c:pt idx="74">
                  <c:v>134.03938075677249</c:v>
                </c:pt>
                <c:pt idx="75">
                  <c:v>135.84542558251417</c:v>
                </c:pt>
                <c:pt idx="76">
                  <c:v>137.65147040825585</c:v>
                </c:pt>
                <c:pt idx="77">
                  <c:v>139.45751523399753</c:v>
                </c:pt>
                <c:pt idx="78">
                  <c:v>141.26356005973921</c:v>
                </c:pt>
                <c:pt idx="79">
                  <c:v>143.06960488548089</c:v>
                </c:pt>
                <c:pt idx="80">
                  <c:v>144.87564971122256</c:v>
                </c:pt>
                <c:pt idx="81">
                  <c:v>146.68169453696424</c:v>
                </c:pt>
                <c:pt idx="82">
                  <c:v>148.48773936270592</c:v>
                </c:pt>
                <c:pt idx="83">
                  <c:v>150.2937841884476</c:v>
                </c:pt>
                <c:pt idx="84">
                  <c:v>152.09982901418928</c:v>
                </c:pt>
                <c:pt idx="85">
                  <c:v>153.90587383993096</c:v>
                </c:pt>
                <c:pt idx="86">
                  <c:v>155.71191866567264</c:v>
                </c:pt>
                <c:pt idx="87">
                  <c:v>157.51796349141432</c:v>
                </c:pt>
                <c:pt idx="88">
                  <c:v>159.324008317156</c:v>
                </c:pt>
                <c:pt idx="89">
                  <c:v>161.13005314289768</c:v>
                </c:pt>
                <c:pt idx="90">
                  <c:v>162.93609796863936</c:v>
                </c:pt>
                <c:pt idx="91">
                  <c:v>164.74214279438104</c:v>
                </c:pt>
                <c:pt idx="92">
                  <c:v>166.54818762012272</c:v>
                </c:pt>
                <c:pt idx="93">
                  <c:v>168.3542324458644</c:v>
                </c:pt>
                <c:pt idx="94">
                  <c:v>170.16027727160608</c:v>
                </c:pt>
                <c:pt idx="95">
                  <c:v>171.96632209734776</c:v>
                </c:pt>
                <c:pt idx="96">
                  <c:v>173.77236692308944</c:v>
                </c:pt>
                <c:pt idx="97">
                  <c:v>175.57841174883112</c:v>
                </c:pt>
                <c:pt idx="98">
                  <c:v>177.38445657457279</c:v>
                </c:pt>
                <c:pt idx="99">
                  <c:v>179.19050140031447</c:v>
                </c:pt>
              </c:numCache>
            </c:numRef>
          </c:xVal>
          <c:yVal>
            <c:numRef>
              <c:f>Calc_Area!$F$521:$F$620</c:f>
              <c:numCache>
                <c:formatCode>General</c:formatCode>
                <c:ptCount val="100"/>
                <c:pt idx="0">
                  <c:v>2.5442346123302356E-2</c:v>
                </c:pt>
                <c:pt idx="1">
                  <c:v>2.4288417825513386E-2</c:v>
                </c:pt>
                <c:pt idx="2">
                  <c:v>2.318682552339028E-2</c:v>
                </c:pt>
                <c:pt idx="3">
                  <c:v>2.2135195537001964E-2</c:v>
                </c:pt>
                <c:pt idx="4">
                  <c:v>2.1131261843802009E-2</c:v>
                </c:pt>
                <c:pt idx="5">
                  <c:v>2.0172861195867333E-2</c:v>
                </c:pt>
                <c:pt idx="6">
                  <c:v>1.9257928458592755E-2</c:v>
                </c:pt>
                <c:pt idx="7">
                  <c:v>1.8384492160797388E-2</c:v>
                </c:pt>
                <c:pt idx="8">
                  <c:v>1.7550670246654281E-2</c:v>
                </c:pt>
                <c:pt idx="9">
                  <c:v>1.6754666020289782E-2</c:v>
                </c:pt>
                <c:pt idx="10">
                  <c:v>1.5994764274314083E-2</c:v>
                </c:pt>
                <c:pt idx="11">
                  <c:v>1.5269327593940861E-2</c:v>
                </c:pt>
                <c:pt idx="12">
                  <c:v>1.457679282873222E-2</c:v>
                </c:pt>
                <c:pt idx="13">
                  <c:v>1.3915667724366336E-2</c:v>
                </c:pt>
                <c:pt idx="14">
                  <c:v>1.3284527707170051E-2</c:v>
                </c:pt>
                <c:pt idx="15">
                  <c:v>1.2682012814487846E-2</c:v>
                </c:pt>
                <c:pt idx="16">
                  <c:v>1.2106824764272757E-2</c:v>
                </c:pt>
                <c:pt idx="17">
                  <c:v>1.1557724157584949E-2</c:v>
                </c:pt>
                <c:pt idx="18">
                  <c:v>1.1033527807969953E-2</c:v>
                </c:pt>
                <c:pt idx="19">
                  <c:v>1.0533106191961948E-2</c:v>
                </c:pt>
                <c:pt idx="20">
                  <c:v>1.0055381015218563E-2</c:v>
                </c:pt>
                <c:pt idx="21">
                  <c:v>9.5993228890427166E-3</c:v>
                </c:pt>
                <c:pt idx="22">
                  <c:v>9.163949112284981E-3</c:v>
                </c:pt>
                <c:pt idx="23">
                  <c:v>8.7483215538469421E-3</c:v>
                </c:pt>
                <c:pt idx="24">
                  <c:v>8.3515446312228438E-3</c:v>
                </c:pt>
                <c:pt idx="25">
                  <c:v>7.9727633807237398E-3</c:v>
                </c:pt>
                <c:pt idx="26">
                  <c:v>7.6111616152259214E-3</c:v>
                </c:pt>
                <c:pt idx="27">
                  <c:v>7.2659601654739923E-3</c:v>
                </c:pt>
                <c:pt idx="28">
                  <c:v>6.9364152011489998E-3</c:v>
                </c:pt>
                <c:pt idx="29">
                  <c:v>6.6218166280838991E-3</c:v>
                </c:pt>
                <c:pt idx="30">
                  <c:v>6.3214865581727323E-3</c:v>
                </c:pt>
                <c:pt idx="31">
                  <c:v>6.0347778486765161E-3</c:v>
                </c:pt>
                <c:pt idx="32">
                  <c:v>5.7610727077783714E-3</c:v>
                </c:pt>
                <c:pt idx="33">
                  <c:v>5.4997813633831929E-3</c:v>
                </c:pt>
                <c:pt idx="34">
                  <c:v>5.250340792293421E-3</c:v>
                </c:pt>
                <c:pt idx="35">
                  <c:v>5.0122135070225782E-3</c:v>
                </c:pt>
                <c:pt idx="36">
                  <c:v>4.7848863976324542E-3</c:v>
                </c:pt>
                <c:pt idx="37">
                  <c:v>4.5678696260983004E-3</c:v>
                </c:pt>
                <c:pt idx="38">
                  <c:v>4.3606955708197321E-3</c:v>
                </c:pt>
                <c:pt idx="39">
                  <c:v>4.1629178190029223E-3</c:v>
                </c:pt>
                <c:pt idx="40">
                  <c:v>3.9741102047429417E-3</c:v>
                </c:pt>
                <c:pt idx="41">
                  <c:v>3.7938658907335256E-3</c:v>
                </c:pt>
                <c:pt idx="42">
                  <c:v>3.6217964916255506E-3</c:v>
                </c:pt>
                <c:pt idx="43">
                  <c:v>3.4575312371452763E-3</c:v>
                </c:pt>
                <c:pt idx="44">
                  <c:v>3.3007161731690403E-3</c:v>
                </c:pt>
                <c:pt idx="45">
                  <c:v>3.1510133990329302E-3</c:v>
                </c:pt>
                <c:pt idx="46">
                  <c:v>3.0081003394339945E-3</c:v>
                </c:pt>
                <c:pt idx="47">
                  <c:v>2.8716690493540949E-3</c:v>
                </c:pt>
                <c:pt idx="48">
                  <c:v>2.7414255505087029E-3</c:v>
                </c:pt>
                <c:pt idx="49">
                  <c:v>2.6170891978907988E-3</c:v>
                </c:pt>
                <c:pt idx="50">
                  <c:v>2.4983920750449584E-3</c:v>
                </c:pt>
                <c:pt idx="51">
                  <c:v>2.3850784167685477E-3</c:v>
                </c:pt>
                <c:pt idx="52">
                  <c:v>2.276904057996099E-3</c:v>
                </c:pt>
                <c:pt idx="53">
                  <c:v>2.173635907679339E-3</c:v>
                </c:pt>
                <c:pt idx="54">
                  <c:v>2.0750514465291891E-3</c:v>
                </c:pt>
                <c:pt idx="55">
                  <c:v>1.9809382475374933E-3</c:v>
                </c:pt>
                <c:pt idx="56">
                  <c:v>1.8910935182453155E-3</c:v>
                </c:pt>
                <c:pt idx="57">
                  <c:v>1.805323663771482E-3</c:v>
                </c:pt>
                <c:pt idx="58">
                  <c:v>1.7234438696598071E-3</c:v>
                </c:pt>
                <c:pt idx="59">
                  <c:v>1.6452777036461352E-3</c:v>
                </c:pt>
                <c:pt idx="60">
                  <c:v>1.5706567354870835E-3</c:v>
                </c:pt>
                <c:pt idx="61">
                  <c:v>1.4994201740313226E-3</c:v>
                </c:pt>
                <c:pt idx="62">
                  <c:v>1.4314145207513483E-3</c:v>
                </c:pt>
                <c:pt idx="63">
                  <c:v>1.3664932389892003E-3</c:v>
                </c:pt>
                <c:pt idx="64">
                  <c:v>1.304516438203414E-3</c:v>
                </c:pt>
                <c:pt idx="65">
                  <c:v>1.2453505725368401E-3</c:v>
                </c:pt>
                <c:pt idx="66">
                  <c:v>1.1888681530558092E-3</c:v>
                </c:pt>
                <c:pt idx="67">
                  <c:v>1.134947473040584E-3</c:v>
                </c:pt>
                <c:pt idx="68">
                  <c:v>1.0834723457351619E-3</c:v>
                </c:pt>
                <c:pt idx="69">
                  <c:v>1.0343318539913402E-3</c:v>
                </c:pt>
                <c:pt idx="70">
                  <c:v>9.8742011126758383E-4</c:v>
                </c:pt>
                <c:pt idx="71">
                  <c:v>9.4263603346769786E-4</c:v>
                </c:pt>
                <c:pt idx="72">
                  <c:v>8.9988312112768154E-4</c:v>
                </c:pt>
                <c:pt idx="73">
                  <c:v>8.5906925148140629E-4</c:v>
                </c:pt>
                <c:pt idx="74">
                  <c:v>8.2010647995709124E-4</c:v>
                </c:pt>
                <c:pt idx="75">
                  <c:v>7.8291085067682515E-4</c:v>
                </c:pt>
                <c:pt idx="76">
                  <c:v>7.474022155508147E-4</c:v>
                </c:pt>
                <c:pt idx="77">
                  <c:v>7.1350406157654964E-4</c:v>
                </c:pt>
                <c:pt idx="78">
                  <c:v>6.8114334597074917E-4</c:v>
                </c:pt>
                <c:pt idx="79">
                  <c:v>6.5025033877883691E-4</c:v>
                </c:pt>
                <c:pt idx="80">
                  <c:v>6.2075847262280982E-4</c:v>
                </c:pt>
                <c:pt idx="81">
                  <c:v>5.9260419926373273E-4</c:v>
                </c:pt>
                <c:pt idx="82">
                  <c:v>5.6572685266979253E-4</c:v>
                </c:pt>
                <c:pt idx="83">
                  <c:v>5.4006851829484844E-4</c:v>
                </c:pt>
                <c:pt idx="84">
                  <c:v>5.1557390828580569E-4</c:v>
                </c:pt>
                <c:pt idx="85">
                  <c:v>4.9219024234991367E-4</c:v>
                </c:pt>
                <c:pt idx="86">
                  <c:v>4.698671340252854E-4</c:v>
                </c:pt>
                <c:pt idx="87">
                  <c:v>4.4855648210957315E-4</c:v>
                </c:pt>
                <c:pt idx="88">
                  <c:v>4.2821236701285872E-4</c:v>
                </c:pt>
                <c:pt idx="89">
                  <c:v>4.0879095181142191E-4</c:v>
                </c:pt>
                <c:pt idx="90">
                  <c:v>3.9025038778917401E-4</c:v>
                </c:pt>
                <c:pt idx="91">
                  <c:v>3.7255072426323053E-4</c:v>
                </c:pt>
                <c:pt idx="92">
                  <c:v>3.5565382249930981E-4</c:v>
                </c:pt>
                <c:pt idx="93">
                  <c:v>3.3952327353146592E-4</c:v>
                </c:pt>
                <c:pt idx="94">
                  <c:v>3.2412431970907965E-4</c:v>
                </c:pt>
                <c:pt idx="95">
                  <c:v>3.0942377980205666E-4</c:v>
                </c:pt>
                <c:pt idx="96">
                  <c:v>2.9538997750285022E-4</c:v>
                </c:pt>
                <c:pt idx="97">
                  <c:v>2.8199267317125014E-4</c:v>
                </c:pt>
                <c:pt idx="98">
                  <c:v>2.6920299867486304E-4</c:v>
                </c:pt>
                <c:pt idx="99">
                  <c:v>2.5699339518487458E-4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A0-40D8-A4D9-BA5332E5E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353488"/>
        <c:axId val="257353880"/>
      </c:scatterChart>
      <c:valAx>
        <c:axId val="25735348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7353880"/>
        <c:crosses val="autoZero"/>
        <c:crossBetween val="midCat"/>
      </c:valAx>
      <c:valAx>
        <c:axId val="257353880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f(t)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257353488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94"/>
          <c:h val="0.77939561608853847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Calc_Area!$E$521:$E$620</c:f>
              <c:numCache>
                <c:formatCode>0.000</c:formatCode>
                <c:ptCount val="100"/>
                <c:pt idx="0">
                  <c:v>0.39206365188721559</c:v>
                </c:pt>
                <c:pt idx="1">
                  <c:v>2.1981084776289084</c:v>
                </c:pt>
                <c:pt idx="2">
                  <c:v>4.0041533033706012</c:v>
                </c:pt>
                <c:pt idx="3">
                  <c:v>5.8101981291122939</c:v>
                </c:pt>
                <c:pt idx="4">
                  <c:v>7.6162429548539867</c:v>
                </c:pt>
                <c:pt idx="5">
                  <c:v>9.4222877805956795</c:v>
                </c:pt>
                <c:pt idx="6">
                  <c:v>11.228332606337373</c:v>
                </c:pt>
                <c:pt idx="7">
                  <c:v>13.034377432079067</c:v>
                </c:pt>
                <c:pt idx="8">
                  <c:v>14.840422257820761</c:v>
                </c:pt>
                <c:pt idx="9">
                  <c:v>16.646467083562452</c:v>
                </c:pt>
                <c:pt idx="10">
                  <c:v>18.452511909304146</c:v>
                </c:pt>
                <c:pt idx="11">
                  <c:v>20.25855673504584</c:v>
                </c:pt>
                <c:pt idx="12">
                  <c:v>22.064601560787533</c:v>
                </c:pt>
                <c:pt idx="13">
                  <c:v>23.870646386529227</c:v>
                </c:pt>
                <c:pt idx="14">
                  <c:v>25.676691212270921</c:v>
                </c:pt>
                <c:pt idx="15">
                  <c:v>27.482736038012614</c:v>
                </c:pt>
                <c:pt idx="16">
                  <c:v>29.288780863754308</c:v>
                </c:pt>
                <c:pt idx="17">
                  <c:v>31.094825689496002</c:v>
                </c:pt>
                <c:pt idx="18">
                  <c:v>32.900870515237692</c:v>
                </c:pt>
                <c:pt idx="19">
                  <c:v>34.706915340979386</c:v>
                </c:pt>
                <c:pt idx="20">
                  <c:v>36.512960166721079</c:v>
                </c:pt>
                <c:pt idx="21">
                  <c:v>38.319004992462773</c:v>
                </c:pt>
                <c:pt idx="22">
                  <c:v>40.125049818204467</c:v>
                </c:pt>
                <c:pt idx="23">
                  <c:v>41.93109464394616</c:v>
                </c:pt>
                <c:pt idx="24">
                  <c:v>43.737139469687854</c:v>
                </c:pt>
                <c:pt idx="25">
                  <c:v>45.543184295429548</c:v>
                </c:pt>
                <c:pt idx="26">
                  <c:v>47.349229121171241</c:v>
                </c:pt>
                <c:pt idx="27">
                  <c:v>49.155273946912935</c:v>
                </c:pt>
                <c:pt idx="28">
                  <c:v>50.961318772654629</c:v>
                </c:pt>
                <c:pt idx="29">
                  <c:v>52.767363598396322</c:v>
                </c:pt>
                <c:pt idx="30">
                  <c:v>54.573408424138016</c:v>
                </c:pt>
                <c:pt idx="31">
                  <c:v>56.37945324987971</c:v>
                </c:pt>
                <c:pt idx="32">
                  <c:v>58.185498075621403</c:v>
                </c:pt>
                <c:pt idx="33">
                  <c:v>59.991542901363097</c:v>
                </c:pt>
                <c:pt idx="34">
                  <c:v>61.797587727104791</c:v>
                </c:pt>
                <c:pt idx="35">
                  <c:v>63.603632552846484</c:v>
                </c:pt>
                <c:pt idx="36">
                  <c:v>65.409677378588171</c:v>
                </c:pt>
                <c:pt idx="37">
                  <c:v>67.215722204329865</c:v>
                </c:pt>
                <c:pt idx="38">
                  <c:v>69.021767030071558</c:v>
                </c:pt>
                <c:pt idx="39">
                  <c:v>70.827811855813252</c:v>
                </c:pt>
                <c:pt idx="40">
                  <c:v>72.633856681554946</c:v>
                </c:pt>
                <c:pt idx="41">
                  <c:v>74.439901507296639</c:v>
                </c:pt>
                <c:pt idx="42">
                  <c:v>76.245946333038333</c:v>
                </c:pt>
                <c:pt idx="43">
                  <c:v>78.051991158780027</c:v>
                </c:pt>
                <c:pt idx="44">
                  <c:v>79.85803598452172</c:v>
                </c:pt>
                <c:pt idx="45">
                  <c:v>81.664080810263414</c:v>
                </c:pt>
                <c:pt idx="46">
                  <c:v>83.470125636005108</c:v>
                </c:pt>
                <c:pt idx="47">
                  <c:v>85.276170461746801</c:v>
                </c:pt>
                <c:pt idx="48">
                  <c:v>87.082215287488495</c:v>
                </c:pt>
                <c:pt idx="49">
                  <c:v>88.888260113230189</c:v>
                </c:pt>
                <c:pt idx="50">
                  <c:v>90.694304938971882</c:v>
                </c:pt>
                <c:pt idx="51">
                  <c:v>92.500349764713576</c:v>
                </c:pt>
                <c:pt idx="52">
                  <c:v>94.30639459045527</c:v>
                </c:pt>
                <c:pt idx="53">
                  <c:v>96.112439416196963</c:v>
                </c:pt>
                <c:pt idx="54">
                  <c:v>97.918484241938657</c:v>
                </c:pt>
                <c:pt idx="55">
                  <c:v>99.724529067680351</c:v>
                </c:pt>
                <c:pt idx="56">
                  <c:v>101.53057389342204</c:v>
                </c:pt>
                <c:pt idx="57">
                  <c:v>103.33661871916374</c:v>
                </c:pt>
                <c:pt idx="58">
                  <c:v>105.14266354490543</c:v>
                </c:pt>
                <c:pt idx="59">
                  <c:v>106.94870837064713</c:v>
                </c:pt>
                <c:pt idx="60">
                  <c:v>108.75475319638882</c:v>
                </c:pt>
                <c:pt idx="61">
                  <c:v>110.56079802213051</c:v>
                </c:pt>
                <c:pt idx="62">
                  <c:v>112.36684284787221</c:v>
                </c:pt>
                <c:pt idx="63">
                  <c:v>114.1728876736139</c:v>
                </c:pt>
                <c:pt idx="64">
                  <c:v>115.97893249935559</c:v>
                </c:pt>
                <c:pt idx="65">
                  <c:v>117.78497732509729</c:v>
                </c:pt>
                <c:pt idx="66">
                  <c:v>119.59102215083898</c:v>
                </c:pt>
                <c:pt idx="67">
                  <c:v>121.39706697658067</c:v>
                </c:pt>
                <c:pt idx="68">
                  <c:v>123.20311180232237</c:v>
                </c:pt>
                <c:pt idx="69">
                  <c:v>125.00915662806406</c:v>
                </c:pt>
                <c:pt idx="70">
                  <c:v>126.81520145380576</c:v>
                </c:pt>
                <c:pt idx="71">
                  <c:v>128.62124627954745</c:v>
                </c:pt>
                <c:pt idx="72">
                  <c:v>130.42729110528913</c:v>
                </c:pt>
                <c:pt idx="73">
                  <c:v>132.23333593103081</c:v>
                </c:pt>
                <c:pt idx="74">
                  <c:v>134.03938075677249</c:v>
                </c:pt>
                <c:pt idx="75">
                  <c:v>135.84542558251417</c:v>
                </c:pt>
                <c:pt idx="76">
                  <c:v>137.65147040825585</c:v>
                </c:pt>
                <c:pt idx="77">
                  <c:v>139.45751523399753</c:v>
                </c:pt>
                <c:pt idx="78">
                  <c:v>141.26356005973921</c:v>
                </c:pt>
                <c:pt idx="79">
                  <c:v>143.06960488548089</c:v>
                </c:pt>
                <c:pt idx="80">
                  <c:v>144.87564971122256</c:v>
                </c:pt>
                <c:pt idx="81">
                  <c:v>146.68169453696424</c:v>
                </c:pt>
                <c:pt idx="82">
                  <c:v>148.48773936270592</c:v>
                </c:pt>
                <c:pt idx="83">
                  <c:v>150.2937841884476</c:v>
                </c:pt>
                <c:pt idx="84">
                  <c:v>152.09982901418928</c:v>
                </c:pt>
                <c:pt idx="85">
                  <c:v>153.90587383993096</c:v>
                </c:pt>
                <c:pt idx="86">
                  <c:v>155.71191866567264</c:v>
                </c:pt>
                <c:pt idx="87">
                  <c:v>157.51796349141432</c:v>
                </c:pt>
                <c:pt idx="88">
                  <c:v>159.324008317156</c:v>
                </c:pt>
                <c:pt idx="89">
                  <c:v>161.13005314289768</c:v>
                </c:pt>
                <c:pt idx="90">
                  <c:v>162.93609796863936</c:v>
                </c:pt>
                <c:pt idx="91">
                  <c:v>164.74214279438104</c:v>
                </c:pt>
                <c:pt idx="92">
                  <c:v>166.54818762012272</c:v>
                </c:pt>
                <c:pt idx="93">
                  <c:v>168.3542324458644</c:v>
                </c:pt>
                <c:pt idx="94">
                  <c:v>170.16027727160608</c:v>
                </c:pt>
                <c:pt idx="95">
                  <c:v>171.96632209734776</c:v>
                </c:pt>
                <c:pt idx="96">
                  <c:v>173.77236692308944</c:v>
                </c:pt>
                <c:pt idx="97">
                  <c:v>175.57841174883112</c:v>
                </c:pt>
                <c:pt idx="98">
                  <c:v>177.38445657457279</c:v>
                </c:pt>
                <c:pt idx="99">
                  <c:v>179.19050140031447</c:v>
                </c:pt>
              </c:numCache>
            </c:numRef>
          </c:xVal>
          <c:yVal>
            <c:numRef>
              <c:f>Calc_Area!$H$521:$H$620</c:f>
              <c:numCache>
                <c:formatCode>General</c:formatCode>
                <c:ptCount val="100"/>
                <c:pt idx="0">
                  <c:v>1.0025442673060251E-2</c:v>
                </c:pt>
                <c:pt idx="1">
                  <c:v>5.4925376439167652E-2</c:v>
                </c:pt>
                <c:pt idx="2">
                  <c:v>9.7788890140456095E-2</c:v>
                </c:pt>
                <c:pt idx="3">
                  <c:v>0.13870834486373698</c:v>
                </c:pt>
                <c:pt idx="4">
                  <c:v>0.17777191269252898</c:v>
                </c:pt>
                <c:pt idx="5">
                  <c:v>0.21506376669776928</c:v>
                </c:pt>
                <c:pt idx="6">
                  <c:v>0.25066426231156591</c:v>
                </c:pt>
                <c:pt idx="7">
                  <c:v>0.28465011047480981</c:v>
                </c:pt>
                <c:pt idx="8">
                  <c:v>0.31709454293174</c:v>
                </c:pt>
                <c:pt idx="9">
                  <c:v>0.34806747002763494</c:v>
                </c:pt>
                <c:pt idx="10">
                  <c:v>0.37763563134964662</c:v>
                </c:pt>
                <c:pt idx="11">
                  <c:v>0.40586273953537499</c:v>
                </c:pt>
                <c:pt idx="12">
                  <c:v>0.43280961755905756</c:v>
                </c:pt>
                <c:pt idx="13">
                  <c:v>0.45853432979119335</c:v>
                </c:pt>
                <c:pt idx="14">
                  <c:v>0.4830923071140058</c:v>
                </c:pt>
                <c:pt idx="15">
                  <c:v>0.50653646636234062</c:v>
                </c:pt>
                <c:pt idx="16">
                  <c:v>0.5289173243473636</c:v>
                </c:pt>
                <c:pt idx="17">
                  <c:v>0.5502831067087568</c:v>
                </c:pt>
                <c:pt idx="18">
                  <c:v>0.57067985182996295</c:v>
                </c:pt>
                <c:pt idx="19">
                  <c:v>0.59015151004039113</c:v>
                </c:pt>
                <c:pt idx="20">
                  <c:v>0.60874003831834378</c:v>
                </c:pt>
                <c:pt idx="21">
                  <c:v>0.62648549069872694</c:v>
                </c:pt>
                <c:pt idx="22">
                  <c:v>0.64342610458035088</c:v>
                </c:pt>
                <c:pt idx="23">
                  <c:v>0.65959838311879604</c:v>
                </c:pt>
                <c:pt idx="24">
                  <c:v>0.67503717388237972</c:v>
                </c:pt>
                <c:pt idx="25">
                  <c:v>0.68977574394071051</c:v>
                </c:pt>
                <c:pt idx="26">
                  <c:v>0.70384585154762958</c:v>
                </c:pt>
                <c:pt idx="27">
                  <c:v>0.71727781457299633</c:v>
                </c:pt>
                <c:pt idx="28">
                  <c:v>0.73010057583077825</c:v>
                </c:pt>
                <c:pt idx="29">
                  <c:v>0.74234176544420638</c:v>
                </c:pt>
                <c:pt idx="30">
                  <c:v>0.75402776038238395</c:v>
                </c:pt>
                <c:pt idx="31">
                  <c:v>0.76518374129663358</c:v>
                </c:pt>
                <c:pt idx="32">
                  <c:v>0.7758337467790517</c:v>
                </c:pt>
                <c:pt idx="33">
                  <c:v>0.78600072516018704</c:v>
                </c:pt>
                <c:pt idx="34">
                  <c:v>0.79570658395745453</c:v>
                </c:pt>
                <c:pt idx="35">
                  <c:v>0.80497223708083354</c:v>
                </c:pt>
                <c:pt idx="36">
                  <c:v>0.81381764989756988</c:v>
                </c:pt>
                <c:pt idx="37">
                  <c:v>0.82226188225298447</c:v>
                </c:pt>
                <c:pt idx="38">
                  <c:v>0.83032312954008825</c:v>
                </c:pt>
                <c:pt idx="39">
                  <c:v>0.83801876190650104</c:v>
                </c:pt>
                <c:pt idx="40">
                  <c:v>0.84536536168315402</c:v>
                </c:pt>
                <c:pt idx="41">
                  <c:v>0.85237875911542704</c:v>
                </c:pt>
                <c:pt idx="42">
                  <c:v>0.85907406647371398</c:v>
                </c:pt>
                <c:pt idx="43">
                  <c:v>0.86546571061691535</c:v>
                </c:pt>
                <c:pt idx="44">
                  <c:v>0.87156746407902563</c:v>
                </c:pt>
                <c:pt idx="45">
                  <c:v>0.8773924747458004</c:v>
                </c:pt>
                <c:pt idx="46">
                  <c:v>0.88295329418544766</c:v>
                </c:pt>
                <c:pt idx="47">
                  <c:v>0.88826190469439315</c:v>
                </c:pt>
                <c:pt idx="48">
                  <c:v>0.89332974511639285</c:v>
                </c:pt>
                <c:pt idx="49">
                  <c:v>0.89816773549063045</c:v>
                </c:pt>
                <c:pt idx="50">
                  <c:v>0.90278630058190823</c:v>
                </c:pt>
                <c:pt idx="51">
                  <c:v>0.90719539234363633</c:v>
                </c:pt>
                <c:pt idx="52">
                  <c:v>0.9114045113620195</c:v>
                </c:pt>
                <c:pt idx="53">
                  <c:v>0.91542272732765217</c:v>
                </c:pt>
                <c:pt idx="54">
                  <c:v>0.91925869857863085</c:v>
                </c:pt>
                <c:pt idx="55">
                  <c:v>0.92292069075729599</c:v>
                </c:pt>
                <c:pt idx="56">
                  <c:v>0.92641659462080483</c:v>
                </c:pt>
                <c:pt idx="57">
                  <c:v>0.92975394304391124</c:v>
                </c:pt>
                <c:pt idx="58">
                  <c:v>0.93293992725059116</c:v>
                </c:pt>
                <c:pt idx="59">
                  <c:v>0.93598141230948895</c:v>
                </c:pt>
                <c:pt idx="60">
                  <c:v>0.93888495192657262</c:v>
                </c:pt>
                <c:pt idx="61">
                  <c:v>0.94165680256687456</c:v>
                </c:pt>
                <c:pt idx="62">
                  <c:v>0.94430293693574519</c:v>
                </c:pt>
                <c:pt idx="63">
                  <c:v>0.94682905684866925</c:v>
                </c:pt>
                <c:pt idx="64">
                  <c:v>0.94924060551737688</c:v>
                </c:pt>
                <c:pt idx="65">
                  <c:v>0.95154277927872222</c:v>
                </c:pt>
                <c:pt idx="66">
                  <c:v>0.9537405387916027</c:v>
                </c:pt>
                <c:pt idx="67">
                  <c:v>0.95583861972604733</c:v>
                </c:pt>
                <c:pt idx="68">
                  <c:v>0.95784154296750346</c:v>
                </c:pt>
                <c:pt idx="69">
                  <c:v>0.95975362435831357</c:v>
                </c:pt>
                <c:pt idx="70">
                  <c:v>0.9615789839973703</c:v>
                </c:pt>
                <c:pt idx="71">
                  <c:v>0.96332155511798845</c:v>
                </c:pt>
                <c:pt idx="72">
                  <c:v>0.96498509256312526</c:v>
                </c:pt>
                <c:pt idx="73">
                  <c:v>0.96657318087620991</c:v>
                </c:pt>
                <c:pt idx="74">
                  <c:v>0.96808924202501589</c:v>
                </c:pt>
                <c:pt idx="75">
                  <c:v>0.96953654277522083</c:v>
                </c:pt>
                <c:pt idx="76">
                  <c:v>0.97091820172954024</c:v>
                </c:pt>
                <c:pt idx="77">
                  <c:v>0.97223719604760506</c:v>
                </c:pt>
                <c:pt idx="78">
                  <c:v>0.97349636786106031</c:v>
                </c:pt>
                <c:pt idx="79">
                  <c:v>0.97469843039771065</c:v>
                </c:pt>
                <c:pt idx="80">
                  <c:v>0.97584597382790628</c:v>
                </c:pt>
                <c:pt idx="81">
                  <c:v>0.97694147084576921</c:v>
                </c:pt>
                <c:pt idx="82">
                  <c:v>0.97798728199728435</c:v>
                </c:pt>
                <c:pt idx="83">
                  <c:v>0.97898566076673743</c:v>
                </c:pt>
                <c:pt idx="84">
                  <c:v>0.97993875843245892</c:v>
                </c:pt>
                <c:pt idx="85">
                  <c:v>0.98084862870233802</c:v>
                </c:pt>
                <c:pt idx="86">
                  <c:v>0.98171723213909401</c:v>
                </c:pt>
                <c:pt idx="87">
                  <c:v>0.98254644038484151</c:v>
                </c:pt>
                <c:pt idx="88">
                  <c:v>0.98333804019405224</c:v>
                </c:pt>
                <c:pt idx="89">
                  <c:v>0.98409373728360228</c:v>
                </c:pt>
                <c:pt idx="90">
                  <c:v>0.98481516000820335</c:v>
                </c:pt>
                <c:pt idx="91">
                  <c:v>0.98550386286913505</c:v>
                </c:pt>
                <c:pt idx="92">
                  <c:v>0.98616132986384009</c:v>
                </c:pt>
                <c:pt idx="93">
                  <c:v>0.98678897768360052</c:v>
                </c:pt>
                <c:pt idx="94">
                  <c:v>0.98738815876618369</c:v>
                </c:pt>
                <c:pt idx="95">
                  <c:v>0.98796016421003674</c:v>
                </c:pt>
                <c:pt idx="96">
                  <c:v>0.98850622655630938</c:v>
                </c:pt>
                <c:pt idx="97">
                  <c:v>0.98902752244469849</c:v>
                </c:pt>
                <c:pt idx="98">
                  <c:v>0.98952517514883798</c:v>
                </c:pt>
                <c:pt idx="99">
                  <c:v>0.99000025699669747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D6-4D03-A7D5-CFE6A8FCA4F2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Calc_Area!$E$521:$E$620</c:f>
              <c:numCache>
                <c:formatCode>0.000</c:formatCode>
                <c:ptCount val="100"/>
                <c:pt idx="0">
                  <c:v>0.39206365188721559</c:v>
                </c:pt>
                <c:pt idx="1">
                  <c:v>2.1981084776289084</c:v>
                </c:pt>
                <c:pt idx="2">
                  <c:v>4.0041533033706012</c:v>
                </c:pt>
                <c:pt idx="3">
                  <c:v>5.8101981291122939</c:v>
                </c:pt>
                <c:pt idx="4">
                  <c:v>7.6162429548539867</c:v>
                </c:pt>
                <c:pt idx="5">
                  <c:v>9.4222877805956795</c:v>
                </c:pt>
                <c:pt idx="6">
                  <c:v>11.228332606337373</c:v>
                </c:pt>
                <c:pt idx="7">
                  <c:v>13.034377432079067</c:v>
                </c:pt>
                <c:pt idx="8">
                  <c:v>14.840422257820761</c:v>
                </c:pt>
                <c:pt idx="9">
                  <c:v>16.646467083562452</c:v>
                </c:pt>
                <c:pt idx="10">
                  <c:v>18.452511909304146</c:v>
                </c:pt>
                <c:pt idx="11">
                  <c:v>20.25855673504584</c:v>
                </c:pt>
                <c:pt idx="12">
                  <c:v>22.064601560787533</c:v>
                </c:pt>
                <c:pt idx="13">
                  <c:v>23.870646386529227</c:v>
                </c:pt>
                <c:pt idx="14">
                  <c:v>25.676691212270921</c:v>
                </c:pt>
                <c:pt idx="15">
                  <c:v>27.482736038012614</c:v>
                </c:pt>
                <c:pt idx="16">
                  <c:v>29.288780863754308</c:v>
                </c:pt>
                <c:pt idx="17">
                  <c:v>31.094825689496002</c:v>
                </c:pt>
                <c:pt idx="18">
                  <c:v>32.900870515237692</c:v>
                </c:pt>
                <c:pt idx="19">
                  <c:v>34.706915340979386</c:v>
                </c:pt>
                <c:pt idx="20">
                  <c:v>36.512960166721079</c:v>
                </c:pt>
                <c:pt idx="21">
                  <c:v>38.319004992462773</c:v>
                </c:pt>
                <c:pt idx="22">
                  <c:v>40.125049818204467</c:v>
                </c:pt>
                <c:pt idx="23">
                  <c:v>41.93109464394616</c:v>
                </c:pt>
                <c:pt idx="24">
                  <c:v>43.737139469687854</c:v>
                </c:pt>
                <c:pt idx="25">
                  <c:v>45.543184295429548</c:v>
                </c:pt>
                <c:pt idx="26">
                  <c:v>47.349229121171241</c:v>
                </c:pt>
                <c:pt idx="27">
                  <c:v>49.155273946912935</c:v>
                </c:pt>
                <c:pt idx="28">
                  <c:v>50.961318772654629</c:v>
                </c:pt>
                <c:pt idx="29">
                  <c:v>52.767363598396322</c:v>
                </c:pt>
                <c:pt idx="30">
                  <c:v>54.573408424138016</c:v>
                </c:pt>
                <c:pt idx="31">
                  <c:v>56.37945324987971</c:v>
                </c:pt>
                <c:pt idx="32">
                  <c:v>58.185498075621403</c:v>
                </c:pt>
                <c:pt idx="33">
                  <c:v>59.991542901363097</c:v>
                </c:pt>
                <c:pt idx="34">
                  <c:v>61.797587727104791</c:v>
                </c:pt>
                <c:pt idx="35">
                  <c:v>63.603632552846484</c:v>
                </c:pt>
                <c:pt idx="36">
                  <c:v>65.409677378588171</c:v>
                </c:pt>
                <c:pt idx="37">
                  <c:v>67.215722204329865</c:v>
                </c:pt>
                <c:pt idx="38">
                  <c:v>69.021767030071558</c:v>
                </c:pt>
                <c:pt idx="39">
                  <c:v>70.827811855813252</c:v>
                </c:pt>
                <c:pt idx="40">
                  <c:v>72.633856681554946</c:v>
                </c:pt>
                <c:pt idx="41">
                  <c:v>74.439901507296639</c:v>
                </c:pt>
                <c:pt idx="42">
                  <c:v>76.245946333038333</c:v>
                </c:pt>
                <c:pt idx="43">
                  <c:v>78.051991158780027</c:v>
                </c:pt>
                <c:pt idx="44">
                  <c:v>79.85803598452172</c:v>
                </c:pt>
                <c:pt idx="45">
                  <c:v>81.664080810263414</c:v>
                </c:pt>
                <c:pt idx="46">
                  <c:v>83.470125636005108</c:v>
                </c:pt>
                <c:pt idx="47">
                  <c:v>85.276170461746801</c:v>
                </c:pt>
                <c:pt idx="48">
                  <c:v>87.082215287488495</c:v>
                </c:pt>
                <c:pt idx="49">
                  <c:v>88.888260113230189</c:v>
                </c:pt>
                <c:pt idx="50">
                  <c:v>90.694304938971882</c:v>
                </c:pt>
                <c:pt idx="51">
                  <c:v>92.500349764713576</c:v>
                </c:pt>
                <c:pt idx="52">
                  <c:v>94.30639459045527</c:v>
                </c:pt>
                <c:pt idx="53">
                  <c:v>96.112439416196963</c:v>
                </c:pt>
                <c:pt idx="54">
                  <c:v>97.918484241938657</c:v>
                </c:pt>
                <c:pt idx="55">
                  <c:v>99.724529067680351</c:v>
                </c:pt>
                <c:pt idx="56">
                  <c:v>101.53057389342204</c:v>
                </c:pt>
                <c:pt idx="57">
                  <c:v>103.33661871916374</c:v>
                </c:pt>
                <c:pt idx="58">
                  <c:v>105.14266354490543</c:v>
                </c:pt>
                <c:pt idx="59">
                  <c:v>106.94870837064713</c:v>
                </c:pt>
                <c:pt idx="60">
                  <c:v>108.75475319638882</c:v>
                </c:pt>
                <c:pt idx="61">
                  <c:v>110.56079802213051</c:v>
                </c:pt>
                <c:pt idx="62">
                  <c:v>112.36684284787221</c:v>
                </c:pt>
                <c:pt idx="63">
                  <c:v>114.1728876736139</c:v>
                </c:pt>
                <c:pt idx="64">
                  <c:v>115.97893249935559</c:v>
                </c:pt>
                <c:pt idx="65">
                  <c:v>117.78497732509729</c:v>
                </c:pt>
                <c:pt idx="66">
                  <c:v>119.59102215083898</c:v>
                </c:pt>
                <c:pt idx="67">
                  <c:v>121.39706697658067</c:v>
                </c:pt>
                <c:pt idx="68">
                  <c:v>123.20311180232237</c:v>
                </c:pt>
                <c:pt idx="69">
                  <c:v>125.00915662806406</c:v>
                </c:pt>
                <c:pt idx="70">
                  <c:v>126.81520145380576</c:v>
                </c:pt>
                <c:pt idx="71">
                  <c:v>128.62124627954745</c:v>
                </c:pt>
                <c:pt idx="72">
                  <c:v>130.42729110528913</c:v>
                </c:pt>
                <c:pt idx="73">
                  <c:v>132.23333593103081</c:v>
                </c:pt>
                <c:pt idx="74">
                  <c:v>134.03938075677249</c:v>
                </c:pt>
                <c:pt idx="75">
                  <c:v>135.84542558251417</c:v>
                </c:pt>
                <c:pt idx="76">
                  <c:v>137.65147040825585</c:v>
                </c:pt>
                <c:pt idx="77">
                  <c:v>139.45751523399753</c:v>
                </c:pt>
                <c:pt idx="78">
                  <c:v>141.26356005973921</c:v>
                </c:pt>
                <c:pt idx="79">
                  <c:v>143.06960488548089</c:v>
                </c:pt>
                <c:pt idx="80">
                  <c:v>144.87564971122256</c:v>
                </c:pt>
                <c:pt idx="81">
                  <c:v>146.68169453696424</c:v>
                </c:pt>
                <c:pt idx="82">
                  <c:v>148.48773936270592</c:v>
                </c:pt>
                <c:pt idx="83">
                  <c:v>150.2937841884476</c:v>
                </c:pt>
                <c:pt idx="84">
                  <c:v>152.09982901418928</c:v>
                </c:pt>
                <c:pt idx="85">
                  <c:v>153.90587383993096</c:v>
                </c:pt>
                <c:pt idx="86">
                  <c:v>155.71191866567264</c:v>
                </c:pt>
                <c:pt idx="87">
                  <c:v>157.51796349141432</c:v>
                </c:pt>
                <c:pt idx="88">
                  <c:v>159.324008317156</c:v>
                </c:pt>
                <c:pt idx="89">
                  <c:v>161.13005314289768</c:v>
                </c:pt>
                <c:pt idx="90">
                  <c:v>162.93609796863936</c:v>
                </c:pt>
                <c:pt idx="91">
                  <c:v>164.74214279438104</c:v>
                </c:pt>
                <c:pt idx="92">
                  <c:v>166.54818762012272</c:v>
                </c:pt>
                <c:pt idx="93">
                  <c:v>168.3542324458644</c:v>
                </c:pt>
                <c:pt idx="94">
                  <c:v>170.16027727160608</c:v>
                </c:pt>
                <c:pt idx="95">
                  <c:v>171.96632209734776</c:v>
                </c:pt>
                <c:pt idx="96">
                  <c:v>173.77236692308944</c:v>
                </c:pt>
                <c:pt idx="97">
                  <c:v>175.57841174883112</c:v>
                </c:pt>
                <c:pt idx="98">
                  <c:v>177.38445657457279</c:v>
                </c:pt>
                <c:pt idx="99">
                  <c:v>179.19050140031447</c:v>
                </c:pt>
              </c:numCache>
            </c:numRef>
          </c:xVal>
          <c:yVal>
            <c:numRef>
              <c:f>Calc_Area!$I$521:$I$620</c:f>
              <c:numCache>
                <c:formatCode>General</c:formatCode>
                <c:ptCount val="100"/>
                <c:pt idx="0">
                  <c:v>1.0025442673060251E-2</c:v>
                </c:pt>
                <c:pt idx="1">
                  <c:v>5.4925376439167652E-2</c:v>
                </c:pt>
                <c:pt idx="2">
                  <c:v>9.7788890140456095E-2</c:v>
                </c:pt>
                <c:pt idx="3">
                  <c:v>0.13870834486373698</c:v>
                </c:pt>
                <c:pt idx="4">
                  <c:v>0.17777191269252898</c:v>
                </c:pt>
                <c:pt idx="5">
                  <c:v>0.21506376669776928</c:v>
                </c:pt>
                <c:pt idx="6">
                  <c:v>0.25066426231156591</c:v>
                </c:pt>
                <c:pt idx="7">
                  <c:v>0.28465011047480981</c:v>
                </c:pt>
                <c:pt idx="8">
                  <c:v>0.31709454293174</c:v>
                </c:pt>
                <c:pt idx="9">
                  <c:v>0.34806747002763494</c:v>
                </c:pt>
                <c:pt idx="10">
                  <c:v>0.37763563134964662</c:v>
                </c:pt>
                <c:pt idx="11">
                  <c:v>0.40586273953537499</c:v>
                </c:pt>
                <c:pt idx="12">
                  <c:v>0.43280961755905756</c:v>
                </c:pt>
                <c:pt idx="13">
                  <c:v>0.45853432979119335</c:v>
                </c:pt>
                <c:pt idx="14">
                  <c:v>0.4830923071140058</c:v>
                </c:pt>
                <c:pt idx="15">
                  <c:v>0.50653646636234062</c:v>
                </c:pt>
                <c:pt idx="16">
                  <c:v>0.5289173243473636</c:v>
                </c:pt>
                <c:pt idx="17">
                  <c:v>0.5502831067087568</c:v>
                </c:pt>
                <c:pt idx="18">
                  <c:v>0.57067985182996295</c:v>
                </c:pt>
                <c:pt idx="19">
                  <c:v>0.59015151004039113</c:v>
                </c:pt>
                <c:pt idx="20">
                  <c:v>0.60874003831834378</c:v>
                </c:pt>
                <c:pt idx="21">
                  <c:v>0.62648549069872694</c:v>
                </c:pt>
                <c:pt idx="22">
                  <c:v>0.64342610458035088</c:v>
                </c:pt>
                <c:pt idx="23">
                  <c:v>0.65959838311879604</c:v>
                </c:pt>
                <c:pt idx="24">
                  <c:v>0.67503717388237972</c:v>
                </c:pt>
                <c:pt idx="25">
                  <c:v>0.68977574394071051</c:v>
                </c:pt>
                <c:pt idx="26">
                  <c:v>0.70384585154762958</c:v>
                </c:pt>
                <c:pt idx="27">
                  <c:v>0.71727781457299633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D6-4D03-A7D5-CFE6A8FCA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354664"/>
        <c:axId val="258326448"/>
      </c:scatterChart>
      <c:valAx>
        <c:axId val="25735466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8326448"/>
        <c:crosses val="autoZero"/>
        <c:crossBetween val="midCat"/>
      </c:valAx>
      <c:valAx>
        <c:axId val="258326448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F(t) = Pr(T ≤ t)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257354664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Calc_Area!$P$525:$P$531</c:f>
              <c:strCache>
                <c:ptCount val="7"/>
                <c:pt idx="0">
                  <c:v>0.624857213</c:v>
                </c:pt>
                <c:pt idx="3">
                  <c:v>110.4181069</c:v>
                </c:pt>
                <c:pt idx="6">
                  <c:v>256.8091064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Calc_Area!$P$525:$P$531</c:f>
              <c:numCache>
                <c:formatCode>General</c:formatCode>
                <c:ptCount val="7"/>
                <c:pt idx="0">
                  <c:v>0.62485721301639285</c:v>
                </c:pt>
                <c:pt idx="3">
                  <c:v>110.41810685640506</c:v>
                </c:pt>
                <c:pt idx="6">
                  <c:v>256.80910638092331</c:v>
                </c:pt>
              </c:numCache>
            </c:numRef>
          </c:cat>
          <c:val>
            <c:numRef>
              <c:f>Calc_Area!$N$525:$N$531</c:f>
              <c:numCache>
                <c:formatCode>General</c:formatCode>
                <c:ptCount val="7"/>
                <c:pt idx="0">
                  <c:v>58</c:v>
                </c:pt>
                <c:pt idx="1">
                  <c:v>27</c:v>
                </c:pt>
                <c:pt idx="2">
                  <c:v>8</c:v>
                </c:pt>
                <c:pt idx="3">
                  <c:v>5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77-49CA-854F-17B0EE34D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8327232"/>
        <c:axId val="258327624"/>
      </c:barChart>
      <c:catAx>
        <c:axId val="25832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crossAx val="258327624"/>
        <c:crosses val="autoZero"/>
        <c:auto val="0"/>
        <c:lblAlgn val="ctr"/>
        <c:lblOffset val="100"/>
        <c:tickMarkSkip val="6"/>
        <c:noMultiLvlLbl val="0"/>
      </c:catAx>
      <c:valAx>
        <c:axId val="258327624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8327232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38"/>
          <c:h val="0.77939561608853702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Calc_Area!$E$419:$E$518</c:f>
              <c:numCache>
                <c:formatCode>0.000</c:formatCode>
                <c:ptCount val="100"/>
                <c:pt idx="0">
                  <c:v>0</c:v>
                </c:pt>
                <c:pt idx="1">
                  <c:v>3.2545163792717631E-5</c:v>
                </c:pt>
                <c:pt idx="2">
                  <c:v>6.5090327585435261E-5</c:v>
                </c:pt>
                <c:pt idx="3">
                  <c:v>9.7635491378152898E-5</c:v>
                </c:pt>
                <c:pt idx="4">
                  <c:v>1.3018065517087052E-4</c:v>
                </c:pt>
                <c:pt idx="5">
                  <c:v>1.6272581896358815E-4</c:v>
                </c:pt>
                <c:pt idx="6">
                  <c:v>1.9527098275630577E-4</c:v>
                </c:pt>
                <c:pt idx="7">
                  <c:v>2.2781614654902339E-4</c:v>
                </c:pt>
                <c:pt idx="8">
                  <c:v>2.6036131034174104E-4</c:v>
                </c:pt>
                <c:pt idx="9">
                  <c:v>2.929064741344587E-4</c:v>
                </c:pt>
                <c:pt idx="10">
                  <c:v>3.2545163792717635E-4</c:v>
                </c:pt>
                <c:pt idx="11">
                  <c:v>3.57996801719894E-4</c:v>
                </c:pt>
                <c:pt idx="12">
                  <c:v>3.9054196551261165E-4</c:v>
                </c:pt>
                <c:pt idx="13">
                  <c:v>4.230871293053293E-4</c:v>
                </c:pt>
                <c:pt idx="14">
                  <c:v>4.5563229309804695E-4</c:v>
                </c:pt>
                <c:pt idx="15">
                  <c:v>4.881774568907646E-4</c:v>
                </c:pt>
                <c:pt idx="16">
                  <c:v>5.207226206834822E-4</c:v>
                </c:pt>
                <c:pt idx="17">
                  <c:v>5.5326778447619979E-4</c:v>
                </c:pt>
                <c:pt idx="18">
                  <c:v>5.8581294826891739E-4</c:v>
                </c:pt>
                <c:pt idx="19">
                  <c:v>6.1835811206163499E-4</c:v>
                </c:pt>
                <c:pt idx="20">
                  <c:v>6.5090327585435258E-4</c:v>
                </c:pt>
                <c:pt idx="21">
                  <c:v>6.8344843964707018E-4</c:v>
                </c:pt>
                <c:pt idx="22">
                  <c:v>7.1599360343978778E-4</c:v>
                </c:pt>
                <c:pt idx="23">
                  <c:v>7.4853876723250537E-4</c:v>
                </c:pt>
                <c:pt idx="24">
                  <c:v>7.8108393102522297E-4</c:v>
                </c:pt>
                <c:pt idx="25">
                  <c:v>8.1362909481794057E-4</c:v>
                </c:pt>
                <c:pt idx="26">
                  <c:v>8.4617425861065816E-4</c:v>
                </c:pt>
                <c:pt idx="27">
                  <c:v>8.7871942240337576E-4</c:v>
                </c:pt>
                <c:pt idx="28">
                  <c:v>9.1126458619609336E-4</c:v>
                </c:pt>
                <c:pt idx="29">
                  <c:v>9.4380974998881095E-4</c:v>
                </c:pt>
                <c:pt idx="30">
                  <c:v>9.7635491378152855E-4</c:v>
                </c:pt>
                <c:pt idx="31">
                  <c:v>1.0089000775742461E-3</c:v>
                </c:pt>
                <c:pt idx="32">
                  <c:v>1.0414452413669637E-3</c:v>
                </c:pt>
                <c:pt idx="33">
                  <c:v>1.0739904051596813E-3</c:v>
                </c:pt>
                <c:pt idx="34">
                  <c:v>1.1065355689523989E-3</c:v>
                </c:pt>
                <c:pt idx="35">
                  <c:v>1.1390807327451165E-3</c:v>
                </c:pt>
                <c:pt idx="36">
                  <c:v>1.1716258965378341E-3</c:v>
                </c:pt>
                <c:pt idx="37">
                  <c:v>1.2041710603305517E-3</c:v>
                </c:pt>
                <c:pt idx="38">
                  <c:v>1.2367162241232693E-3</c:v>
                </c:pt>
                <c:pt idx="39">
                  <c:v>1.2692613879159869E-3</c:v>
                </c:pt>
                <c:pt idx="40">
                  <c:v>1.3018065517087045E-3</c:v>
                </c:pt>
                <c:pt idx="41">
                  <c:v>1.3343517155014221E-3</c:v>
                </c:pt>
                <c:pt idx="42">
                  <c:v>1.3668968792941397E-3</c:v>
                </c:pt>
                <c:pt idx="43">
                  <c:v>1.3994420430868573E-3</c:v>
                </c:pt>
                <c:pt idx="44">
                  <c:v>1.4319872068795749E-3</c:v>
                </c:pt>
                <c:pt idx="45">
                  <c:v>1.4645323706722925E-3</c:v>
                </c:pt>
                <c:pt idx="46">
                  <c:v>1.4970775344650101E-3</c:v>
                </c:pt>
                <c:pt idx="47">
                  <c:v>1.5296226982577277E-3</c:v>
                </c:pt>
                <c:pt idx="48">
                  <c:v>1.5621678620504453E-3</c:v>
                </c:pt>
                <c:pt idx="49">
                  <c:v>1.5947130258431629E-3</c:v>
                </c:pt>
                <c:pt idx="50">
                  <c:v>1.6272581896358805E-3</c:v>
                </c:pt>
                <c:pt idx="51">
                  <c:v>1.6598033534285981E-3</c:v>
                </c:pt>
                <c:pt idx="52">
                  <c:v>1.6923485172213157E-3</c:v>
                </c:pt>
                <c:pt idx="53">
                  <c:v>1.7248936810140333E-3</c:v>
                </c:pt>
                <c:pt idx="54">
                  <c:v>1.7574388448067509E-3</c:v>
                </c:pt>
                <c:pt idx="55">
                  <c:v>1.7899840085994685E-3</c:v>
                </c:pt>
                <c:pt idx="56">
                  <c:v>1.8225291723921861E-3</c:v>
                </c:pt>
                <c:pt idx="57">
                  <c:v>1.8550743361849037E-3</c:v>
                </c:pt>
                <c:pt idx="58">
                  <c:v>1.8876194999776213E-3</c:v>
                </c:pt>
                <c:pt idx="59">
                  <c:v>1.9201646637703389E-3</c:v>
                </c:pt>
                <c:pt idx="60">
                  <c:v>1.9527098275630564E-3</c:v>
                </c:pt>
                <c:pt idx="61">
                  <c:v>1.985254991355774E-3</c:v>
                </c:pt>
                <c:pt idx="62">
                  <c:v>2.0178001551484919E-3</c:v>
                </c:pt>
                <c:pt idx="63">
                  <c:v>2.0503453189412097E-3</c:v>
                </c:pt>
                <c:pt idx="64">
                  <c:v>2.0828904827339275E-3</c:v>
                </c:pt>
                <c:pt idx="65">
                  <c:v>2.1154356465266453E-3</c:v>
                </c:pt>
                <c:pt idx="66">
                  <c:v>2.1479808103193631E-3</c:v>
                </c:pt>
                <c:pt idx="67">
                  <c:v>2.1805259741120809E-3</c:v>
                </c:pt>
                <c:pt idx="68">
                  <c:v>2.2130711379047987E-3</c:v>
                </c:pt>
                <c:pt idx="69">
                  <c:v>2.2456163016975166E-3</c:v>
                </c:pt>
                <c:pt idx="70">
                  <c:v>2.2781614654902344E-3</c:v>
                </c:pt>
                <c:pt idx="71">
                  <c:v>2.3107066292829522E-3</c:v>
                </c:pt>
                <c:pt idx="72">
                  <c:v>2.34325179307567E-3</c:v>
                </c:pt>
                <c:pt idx="73">
                  <c:v>2.3757969568683878E-3</c:v>
                </c:pt>
                <c:pt idx="74">
                  <c:v>2.4083421206611056E-3</c:v>
                </c:pt>
                <c:pt idx="75">
                  <c:v>2.4408872844538234E-3</c:v>
                </c:pt>
                <c:pt idx="76">
                  <c:v>2.4734324482465412E-3</c:v>
                </c:pt>
                <c:pt idx="77">
                  <c:v>2.5059776120392591E-3</c:v>
                </c:pt>
                <c:pt idx="78">
                  <c:v>2.5385227758319769E-3</c:v>
                </c:pt>
                <c:pt idx="79">
                  <c:v>2.5710679396246947E-3</c:v>
                </c:pt>
                <c:pt idx="80">
                  <c:v>2.6036131034174125E-3</c:v>
                </c:pt>
                <c:pt idx="81">
                  <c:v>2.6361582672101303E-3</c:v>
                </c:pt>
                <c:pt idx="82">
                  <c:v>2.6687034310028481E-3</c:v>
                </c:pt>
                <c:pt idx="83">
                  <c:v>2.7012485947955659E-3</c:v>
                </c:pt>
                <c:pt idx="84">
                  <c:v>2.7337937585882838E-3</c:v>
                </c:pt>
                <c:pt idx="85">
                  <c:v>2.7663389223810016E-3</c:v>
                </c:pt>
                <c:pt idx="86">
                  <c:v>2.7988840861737194E-3</c:v>
                </c:pt>
                <c:pt idx="87">
                  <c:v>2.8314292499664372E-3</c:v>
                </c:pt>
                <c:pt idx="88">
                  <c:v>2.863974413759155E-3</c:v>
                </c:pt>
                <c:pt idx="89">
                  <c:v>2.8965195775518728E-3</c:v>
                </c:pt>
                <c:pt idx="90">
                  <c:v>2.9290647413445906E-3</c:v>
                </c:pt>
                <c:pt idx="91">
                  <c:v>2.9616099051373085E-3</c:v>
                </c:pt>
                <c:pt idx="92">
                  <c:v>2.9941550689300263E-3</c:v>
                </c:pt>
                <c:pt idx="93">
                  <c:v>3.0267002327227441E-3</c:v>
                </c:pt>
                <c:pt idx="94">
                  <c:v>3.0592453965154619E-3</c:v>
                </c:pt>
                <c:pt idx="95">
                  <c:v>3.0917905603081797E-3</c:v>
                </c:pt>
                <c:pt idx="96">
                  <c:v>3.1243357241008975E-3</c:v>
                </c:pt>
                <c:pt idx="97">
                  <c:v>3.1568808878936153E-3</c:v>
                </c:pt>
                <c:pt idx="98">
                  <c:v>3.1894260516863331E-3</c:v>
                </c:pt>
                <c:pt idx="99">
                  <c:v>3.221971215479051E-3</c:v>
                </c:pt>
              </c:numCache>
            </c:numRef>
          </c:xVal>
          <c:yVal>
            <c:numRef>
              <c:f>Calc_Area!$G$419:$G$518</c:f>
              <c:numCache>
                <c:formatCode>General</c:formatCode>
                <c:ptCount val="100"/>
                <c:pt idx="0">
                  <c:v>0</c:v>
                </c:pt>
                <c:pt idx="1">
                  <c:v>1553.2097452413129</c:v>
                </c:pt>
                <c:pt idx="2">
                  <c:v>802.4866942092716</c:v>
                </c:pt>
                <c:pt idx="3">
                  <c:v>542.44048669124697</c:v>
                </c:pt>
                <c:pt idx="4">
                  <c:v>409.30630670142403</c:v>
                </c:pt>
                <c:pt idx="5">
                  <c:v>328.03991213030037</c:v>
                </c:pt>
                <c:pt idx="6">
                  <c:v>273.12757945298074</c:v>
                </c:pt>
                <c:pt idx="7">
                  <c:v>233.4708975617302</c:v>
                </c:pt>
                <c:pt idx="8">
                  <c:v>203.45330917315118</c:v>
                </c:pt>
                <c:pt idx="9">
                  <c:v>179.92252531276466</c:v>
                </c:pt>
                <c:pt idx="10">
                  <c:v>160.97034366243861</c:v>
                </c:pt>
                <c:pt idx="11">
                  <c:v>145.37288617640215</c:v>
                </c:pt>
                <c:pt idx="12">
                  <c:v>132.30845647631352</c:v>
                </c:pt>
                <c:pt idx="13">
                  <c:v>121.20452519074291</c:v>
                </c:pt>
                <c:pt idx="14">
                  <c:v>111.64972628800587</c:v>
                </c:pt>
                <c:pt idx="15">
                  <c:v>103.34074279606476</c:v>
                </c:pt>
                <c:pt idx="16">
                  <c:v>96.048929880464314</c:v>
                </c:pt>
                <c:pt idx="17">
                  <c:v>89.598609199184878</c:v>
                </c:pt>
                <c:pt idx="18">
                  <c:v>83.852530500940404</c:v>
                </c:pt>
                <c:pt idx="19">
                  <c:v>78.70188050937665</c:v>
                </c:pt>
                <c:pt idx="20">
                  <c:v>74.059260160996303</c:v>
                </c:pt>
                <c:pt idx="21">
                  <c:v>69.853648702624255</c:v>
                </c:pt>
                <c:pt idx="22">
                  <c:v>66.02672761604282</c:v>
                </c:pt>
                <c:pt idx="23">
                  <c:v>62.530153921158366</c:v>
                </c:pt>
                <c:pt idx="24">
                  <c:v>59.323508263431862</c:v>
                </c:pt>
                <c:pt idx="25">
                  <c:v>56.372730436692493</c:v>
                </c:pt>
                <c:pt idx="26">
                  <c:v>53.648912224070443</c:v>
                </c:pt>
                <c:pt idx="27">
                  <c:v>51.127355713329834</c:v>
                </c:pt>
                <c:pt idx="28">
                  <c:v>48.786831291818892</c:v>
                </c:pt>
                <c:pt idx="29">
                  <c:v>46.608987542513837</c:v>
                </c:pt>
                <c:pt idx="30">
                  <c:v>44.577877908732347</c:v>
                </c:pt>
                <c:pt idx="31">
                  <c:v>42.679577993524106</c:v>
                </c:pt>
                <c:pt idx="32">
                  <c:v>40.90187384388755</c:v>
                </c:pt>
                <c:pt idx="33">
                  <c:v>39.234006297329486</c:v>
                </c:pt>
                <c:pt idx="34">
                  <c:v>37.666459952575913</c:v>
                </c:pt>
                <c:pt idx="35">
                  <c:v>36.19078792054529</c:v>
                </c:pt>
                <c:pt idx="36">
                  <c:v>34.799465461773551</c:v>
                </c:pt>
                <c:pt idx="37">
                  <c:v>33.485767095415412</c:v>
                </c:pt>
                <c:pt idx="38">
                  <c:v>32.243662895986049</c:v>
                </c:pt>
                <c:pt idx="39">
                  <c:v>31.067730565818508</c:v>
                </c:pt>
                <c:pt idx="40">
                  <c:v>29.953080548212409</c:v>
                </c:pt>
                <c:pt idx="41">
                  <c:v>28.895291975664819</c:v>
                </c:pt>
                <c:pt idx="42">
                  <c:v>27.890357664329958</c:v>
                </c:pt>
                <c:pt idx="43">
                  <c:v>26.934636695989518</c:v>
                </c:pt>
                <c:pt idx="44">
                  <c:v>26.024813391896032</c:v>
                </c:pt>
                <c:pt idx="45">
                  <c:v>25.157861693685273</c:v>
                </c:pt>
                <c:pt idx="46">
                  <c:v>24.331014136429424</c:v>
                </c:pt>
                <c:pt idx="47">
                  <c:v>23.541734736479022</c:v>
                </c:pt>
                <c:pt idx="48">
                  <c:v>22.787695228706561</c:v>
                </c:pt>
                <c:pt idx="49">
                  <c:v>22.066754179311253</c:v>
                </c:pt>
                <c:pt idx="50">
                  <c:v>21.376938575531373</c:v>
                </c:pt>
                <c:pt idx="51">
                  <c:v>20.716427555624421</c:v>
                </c:pt>
                <c:pt idx="52">
                  <c:v>20.083537993833929</c:v>
                </c:pt>
                <c:pt idx="53">
                  <c:v>19.476711697762411</c:v>
                </c:pt>
                <c:pt idx="54">
                  <c:v>18.894504011205491</c:v>
                </c:pt>
                <c:pt idx="55">
                  <c:v>18.335573645349211</c:v>
                </c:pt>
                <c:pt idx="56">
                  <c:v>17.798673586318337</c:v>
                </c:pt>
                <c:pt idx="57">
                  <c:v>17.282642948216591</c:v>
                </c:pt>
                <c:pt idx="58">
                  <c:v>16.786399658695768</c:v>
                </c:pt>
                <c:pt idx="59">
                  <c:v>16.308933879276321</c:v>
                </c:pt>
                <c:pt idx="60">
                  <c:v>15.849302075567131</c:v>
                </c:pt>
                <c:pt idx="61">
                  <c:v>15.406621663564346</c:v>
                </c:pt>
                <c:pt idx="62">
                  <c:v>14.980066167652014</c:v>
                </c:pt>
                <c:pt idx="63">
                  <c:v>14.568860834031184</c:v>
                </c:pt>
                <c:pt idx="64">
                  <c:v>14.172278650277043</c:v>
                </c:pt>
                <c:pt idx="65">
                  <c:v>13.789636727738454</c:v>
                </c:pt>
                <c:pt idx="66">
                  <c:v>13.420293008694959</c:v>
                </c:pt>
                <c:pt idx="67">
                  <c:v>13.063643264693852</c:v>
                </c:pt>
                <c:pt idx="68">
                  <c:v>12.719118356405316</c:v>
                </c:pt>
                <c:pt idx="69">
                  <c:v>12.386181728742274</c:v>
                </c:pt>
                <c:pt idx="70">
                  <c:v>12.064327117965396</c:v>
                </c:pt>
                <c:pt idx="71">
                  <c:v>11.753076450093332</c:v>
                </c:pt>
                <c:pt idx="72">
                  <c:v>11.451977912215556</c:v>
                </c:pt>
                <c:pt idx="73">
                  <c:v>11.160604180303791</c:v>
                </c:pt>
                <c:pt idx="74">
                  <c:v>10.878550788875545</c:v>
                </c:pt>
                <c:pt idx="75">
                  <c:v>10.605434629411411</c:v>
                </c:pt>
                <c:pt idx="76">
                  <c:v>10.340892565794137</c:v>
                </c:pt>
                <c:pt idx="77">
                  <c:v>10.084580156245339</c:v>
                </c:pt>
                <c:pt idx="78">
                  <c:v>9.8361704723052572</c:v>
                </c:pt>
                <c:pt idx="79">
                  <c:v>9.5953530063496988</c:v>
                </c:pt>
                <c:pt idx="80">
                  <c:v>9.3618326599811148</c:v>
                </c:pt>
                <c:pt idx="81">
                  <c:v>9.1353288063805866</c:v>
                </c:pt>
                <c:pt idx="82">
                  <c:v>8.9155744203758633</c:v>
                </c:pt>
                <c:pt idx="83">
                  <c:v>8.7023152705768414</c:v>
                </c:pt>
                <c:pt idx="84">
                  <c:v>8.495309168462942</c:v>
                </c:pt>
                <c:pt idx="85">
                  <c:v>8.2943252697837799</c:v>
                </c:pt>
                <c:pt idx="86">
                  <c:v>8.0991434240620226</c:v>
                </c:pt>
                <c:pt idx="87">
                  <c:v>7.9095535683709386</c:v>
                </c:pt>
                <c:pt idx="88">
                  <c:v>7.7253551619038845</c:v>
                </c:pt>
                <c:pt idx="89">
                  <c:v>7.5463566581629671</c:v>
                </c:pt>
                <c:pt idx="90">
                  <c:v>7.3723750118736406</c:v>
                </c:pt>
                <c:pt idx="91">
                  <c:v>7.2032352179838304</c:v>
                </c:pt>
                <c:pt idx="92">
                  <c:v>7.0387698803337662</c:v>
                </c:pt>
                <c:pt idx="93">
                  <c:v>6.8788188077882895</c:v>
                </c:pt>
                <c:pt idx="94">
                  <c:v>6.72322863580965</c:v>
                </c:pt>
                <c:pt idx="95">
                  <c:v>6.571852471617361</c:v>
                </c:pt>
                <c:pt idx="96">
                  <c:v>6.4245495612347137</c:v>
                </c:pt>
                <c:pt idx="97">
                  <c:v>6.2811849768604056</c:v>
                </c:pt>
                <c:pt idx="98">
                  <c:v>6.141629323130017</c:v>
                </c:pt>
                <c:pt idx="99">
                  <c:v>6.0057584609469101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E0-4F71-B21B-5C91D6EA4363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Calc_Area!$E$419:$E$518</c:f>
              <c:numCache>
                <c:formatCode>0.000</c:formatCode>
                <c:ptCount val="100"/>
                <c:pt idx="0">
                  <c:v>0</c:v>
                </c:pt>
                <c:pt idx="1">
                  <c:v>3.2545163792717631E-5</c:v>
                </c:pt>
                <c:pt idx="2">
                  <c:v>6.5090327585435261E-5</c:v>
                </c:pt>
                <c:pt idx="3">
                  <c:v>9.7635491378152898E-5</c:v>
                </c:pt>
                <c:pt idx="4">
                  <c:v>1.3018065517087052E-4</c:v>
                </c:pt>
                <c:pt idx="5">
                  <c:v>1.6272581896358815E-4</c:v>
                </c:pt>
                <c:pt idx="6">
                  <c:v>1.9527098275630577E-4</c:v>
                </c:pt>
                <c:pt idx="7">
                  <c:v>2.2781614654902339E-4</c:v>
                </c:pt>
                <c:pt idx="8">
                  <c:v>2.6036131034174104E-4</c:v>
                </c:pt>
                <c:pt idx="9">
                  <c:v>2.929064741344587E-4</c:v>
                </c:pt>
                <c:pt idx="10">
                  <c:v>3.2545163792717635E-4</c:v>
                </c:pt>
                <c:pt idx="11">
                  <c:v>3.57996801719894E-4</c:v>
                </c:pt>
                <c:pt idx="12">
                  <c:v>3.9054196551261165E-4</c:v>
                </c:pt>
                <c:pt idx="13">
                  <c:v>4.230871293053293E-4</c:v>
                </c:pt>
                <c:pt idx="14">
                  <c:v>4.5563229309804695E-4</c:v>
                </c:pt>
                <c:pt idx="15">
                  <c:v>4.881774568907646E-4</c:v>
                </c:pt>
                <c:pt idx="16">
                  <c:v>5.207226206834822E-4</c:v>
                </c:pt>
                <c:pt idx="17">
                  <c:v>5.5326778447619979E-4</c:v>
                </c:pt>
                <c:pt idx="18">
                  <c:v>5.8581294826891739E-4</c:v>
                </c:pt>
                <c:pt idx="19">
                  <c:v>6.1835811206163499E-4</c:v>
                </c:pt>
                <c:pt idx="20">
                  <c:v>6.5090327585435258E-4</c:v>
                </c:pt>
                <c:pt idx="21">
                  <c:v>6.8344843964707018E-4</c:v>
                </c:pt>
                <c:pt idx="22">
                  <c:v>7.1599360343978778E-4</c:v>
                </c:pt>
                <c:pt idx="23">
                  <c:v>7.4853876723250537E-4</c:v>
                </c:pt>
                <c:pt idx="24">
                  <c:v>7.8108393102522297E-4</c:v>
                </c:pt>
                <c:pt idx="25">
                  <c:v>8.1362909481794057E-4</c:v>
                </c:pt>
                <c:pt idx="26">
                  <c:v>8.4617425861065816E-4</c:v>
                </c:pt>
                <c:pt idx="27">
                  <c:v>8.7871942240337576E-4</c:v>
                </c:pt>
                <c:pt idx="28">
                  <c:v>9.1126458619609336E-4</c:v>
                </c:pt>
                <c:pt idx="29">
                  <c:v>9.4380974998881095E-4</c:v>
                </c:pt>
                <c:pt idx="30">
                  <c:v>9.7635491378152855E-4</c:v>
                </c:pt>
                <c:pt idx="31">
                  <c:v>1.0089000775742461E-3</c:v>
                </c:pt>
                <c:pt idx="32">
                  <c:v>1.0414452413669637E-3</c:v>
                </c:pt>
                <c:pt idx="33">
                  <c:v>1.0739904051596813E-3</c:v>
                </c:pt>
                <c:pt idx="34">
                  <c:v>1.1065355689523989E-3</c:v>
                </c:pt>
                <c:pt idx="35">
                  <c:v>1.1390807327451165E-3</c:v>
                </c:pt>
                <c:pt idx="36">
                  <c:v>1.1716258965378341E-3</c:v>
                </c:pt>
                <c:pt idx="37">
                  <c:v>1.2041710603305517E-3</c:v>
                </c:pt>
                <c:pt idx="38">
                  <c:v>1.2367162241232693E-3</c:v>
                </c:pt>
                <c:pt idx="39">
                  <c:v>1.2692613879159869E-3</c:v>
                </c:pt>
                <c:pt idx="40">
                  <c:v>1.3018065517087045E-3</c:v>
                </c:pt>
                <c:pt idx="41">
                  <c:v>1.3343517155014221E-3</c:v>
                </c:pt>
                <c:pt idx="42">
                  <c:v>1.3668968792941397E-3</c:v>
                </c:pt>
                <c:pt idx="43">
                  <c:v>1.3994420430868573E-3</c:v>
                </c:pt>
                <c:pt idx="44">
                  <c:v>1.4319872068795749E-3</c:v>
                </c:pt>
                <c:pt idx="45">
                  <c:v>1.4645323706722925E-3</c:v>
                </c:pt>
                <c:pt idx="46">
                  <c:v>1.4970775344650101E-3</c:v>
                </c:pt>
                <c:pt idx="47">
                  <c:v>1.5296226982577277E-3</c:v>
                </c:pt>
                <c:pt idx="48">
                  <c:v>1.5621678620504453E-3</c:v>
                </c:pt>
                <c:pt idx="49">
                  <c:v>1.5947130258431629E-3</c:v>
                </c:pt>
                <c:pt idx="50">
                  <c:v>1.6272581896358805E-3</c:v>
                </c:pt>
                <c:pt idx="51">
                  <c:v>1.6598033534285981E-3</c:v>
                </c:pt>
                <c:pt idx="52">
                  <c:v>1.6923485172213157E-3</c:v>
                </c:pt>
                <c:pt idx="53">
                  <c:v>1.7248936810140333E-3</c:v>
                </c:pt>
                <c:pt idx="54">
                  <c:v>1.7574388448067509E-3</c:v>
                </c:pt>
                <c:pt idx="55">
                  <c:v>1.7899840085994685E-3</c:v>
                </c:pt>
                <c:pt idx="56">
                  <c:v>1.8225291723921861E-3</c:v>
                </c:pt>
                <c:pt idx="57">
                  <c:v>1.8550743361849037E-3</c:v>
                </c:pt>
                <c:pt idx="58">
                  <c:v>1.8876194999776213E-3</c:v>
                </c:pt>
                <c:pt idx="59">
                  <c:v>1.9201646637703389E-3</c:v>
                </c:pt>
                <c:pt idx="60">
                  <c:v>1.9527098275630564E-3</c:v>
                </c:pt>
                <c:pt idx="61">
                  <c:v>1.985254991355774E-3</c:v>
                </c:pt>
                <c:pt idx="62">
                  <c:v>2.0178001551484919E-3</c:v>
                </c:pt>
                <c:pt idx="63">
                  <c:v>2.0503453189412097E-3</c:v>
                </c:pt>
                <c:pt idx="64">
                  <c:v>2.0828904827339275E-3</c:v>
                </c:pt>
                <c:pt idx="65">
                  <c:v>2.1154356465266453E-3</c:v>
                </c:pt>
                <c:pt idx="66">
                  <c:v>2.1479808103193631E-3</c:v>
                </c:pt>
                <c:pt idx="67">
                  <c:v>2.1805259741120809E-3</c:v>
                </c:pt>
                <c:pt idx="68">
                  <c:v>2.2130711379047987E-3</c:v>
                </c:pt>
                <c:pt idx="69">
                  <c:v>2.2456163016975166E-3</c:v>
                </c:pt>
                <c:pt idx="70">
                  <c:v>2.2781614654902344E-3</c:v>
                </c:pt>
                <c:pt idx="71">
                  <c:v>2.3107066292829522E-3</c:v>
                </c:pt>
                <c:pt idx="72">
                  <c:v>2.34325179307567E-3</c:v>
                </c:pt>
                <c:pt idx="73">
                  <c:v>2.3757969568683878E-3</c:v>
                </c:pt>
                <c:pt idx="74">
                  <c:v>2.4083421206611056E-3</c:v>
                </c:pt>
                <c:pt idx="75">
                  <c:v>2.4408872844538234E-3</c:v>
                </c:pt>
                <c:pt idx="76">
                  <c:v>2.4734324482465412E-3</c:v>
                </c:pt>
                <c:pt idx="77">
                  <c:v>2.5059776120392591E-3</c:v>
                </c:pt>
                <c:pt idx="78">
                  <c:v>2.5385227758319769E-3</c:v>
                </c:pt>
                <c:pt idx="79">
                  <c:v>2.5710679396246947E-3</c:v>
                </c:pt>
                <c:pt idx="80">
                  <c:v>2.6036131034174125E-3</c:v>
                </c:pt>
                <c:pt idx="81">
                  <c:v>2.6361582672101303E-3</c:v>
                </c:pt>
                <c:pt idx="82">
                  <c:v>2.6687034310028481E-3</c:v>
                </c:pt>
                <c:pt idx="83">
                  <c:v>2.7012485947955659E-3</c:v>
                </c:pt>
                <c:pt idx="84">
                  <c:v>2.7337937585882838E-3</c:v>
                </c:pt>
                <c:pt idx="85">
                  <c:v>2.7663389223810016E-3</c:v>
                </c:pt>
                <c:pt idx="86">
                  <c:v>2.7988840861737194E-3</c:v>
                </c:pt>
                <c:pt idx="87">
                  <c:v>2.8314292499664372E-3</c:v>
                </c:pt>
                <c:pt idx="88">
                  <c:v>2.863974413759155E-3</c:v>
                </c:pt>
                <c:pt idx="89">
                  <c:v>2.8965195775518728E-3</c:v>
                </c:pt>
                <c:pt idx="90">
                  <c:v>2.9290647413445906E-3</c:v>
                </c:pt>
                <c:pt idx="91">
                  <c:v>2.9616099051373085E-3</c:v>
                </c:pt>
                <c:pt idx="92">
                  <c:v>2.9941550689300263E-3</c:v>
                </c:pt>
                <c:pt idx="93">
                  <c:v>3.0267002327227441E-3</c:v>
                </c:pt>
                <c:pt idx="94">
                  <c:v>3.0592453965154619E-3</c:v>
                </c:pt>
                <c:pt idx="95">
                  <c:v>3.0917905603081797E-3</c:v>
                </c:pt>
                <c:pt idx="96">
                  <c:v>3.1243357241008975E-3</c:v>
                </c:pt>
                <c:pt idx="97">
                  <c:v>3.1568808878936153E-3</c:v>
                </c:pt>
                <c:pt idx="98">
                  <c:v>3.1894260516863331E-3</c:v>
                </c:pt>
                <c:pt idx="99">
                  <c:v>3.221971215479051E-3</c:v>
                </c:pt>
              </c:numCache>
            </c:numRef>
          </c:xVal>
          <c:yVal>
            <c:numRef>
              <c:f>Calc_Area!$F$419:$F$518</c:f>
              <c:numCache>
                <c:formatCode>General</c:formatCode>
                <c:ptCount val="100"/>
                <c:pt idx="0">
                  <c:v>0</c:v>
                </c:pt>
                <c:pt idx="1">
                  <c:v>1553.2097452413129</c:v>
                </c:pt>
                <c:pt idx="2">
                  <c:v>802.4866942092716</c:v>
                </c:pt>
                <c:pt idx="3">
                  <c:v>542.44048669124697</c:v>
                </c:pt>
                <c:pt idx="4">
                  <c:v>409.30630670142403</c:v>
                </c:pt>
                <c:pt idx="5">
                  <c:v>328.03991213030037</c:v>
                </c:pt>
                <c:pt idx="6">
                  <c:v>273.12757945298074</c:v>
                </c:pt>
                <c:pt idx="7">
                  <c:v>233.4708975617302</c:v>
                </c:pt>
                <c:pt idx="8">
                  <c:v>203.45330917315118</c:v>
                </c:pt>
                <c:pt idx="9">
                  <c:v>179.92252531276466</c:v>
                </c:pt>
                <c:pt idx="10">
                  <c:v>160.97034366243861</c:v>
                </c:pt>
                <c:pt idx="11">
                  <c:v>145.37288617640215</c:v>
                </c:pt>
                <c:pt idx="12">
                  <c:v>132.30845647631352</c:v>
                </c:pt>
                <c:pt idx="13">
                  <c:v>121.20452519074291</c:v>
                </c:pt>
                <c:pt idx="14">
                  <c:v>111.64972628800587</c:v>
                </c:pt>
                <c:pt idx="15">
                  <c:v>103.34074279606476</c:v>
                </c:pt>
                <c:pt idx="16">
                  <c:v>96.048929880464314</c:v>
                </c:pt>
                <c:pt idx="17">
                  <c:v>89.598609199184878</c:v>
                </c:pt>
                <c:pt idx="18">
                  <c:v>83.852530500940404</c:v>
                </c:pt>
                <c:pt idx="19">
                  <c:v>78.70188050937665</c:v>
                </c:pt>
                <c:pt idx="20">
                  <c:v>74.059260160996303</c:v>
                </c:pt>
                <c:pt idx="21">
                  <c:v>69.853648702624255</c:v>
                </c:pt>
                <c:pt idx="22">
                  <c:v>66.02672761604282</c:v>
                </c:pt>
                <c:pt idx="23">
                  <c:v>62.530153921158366</c:v>
                </c:pt>
                <c:pt idx="24">
                  <c:v>59.323508263431862</c:v>
                </c:pt>
                <c:pt idx="25">
                  <c:v>56.372730436692493</c:v>
                </c:pt>
                <c:pt idx="26">
                  <c:v>53.648912224070443</c:v>
                </c:pt>
                <c:pt idx="27">
                  <c:v>51.127355713329834</c:v>
                </c:pt>
                <c:pt idx="28">
                  <c:v>48.786831291818892</c:v>
                </c:pt>
                <c:pt idx="29">
                  <c:v>46.608987542513837</c:v>
                </c:pt>
                <c:pt idx="30">
                  <c:v>44.577877908732347</c:v>
                </c:pt>
                <c:pt idx="31">
                  <c:v>42.679577993524106</c:v>
                </c:pt>
                <c:pt idx="32">
                  <c:v>40.90187384388755</c:v>
                </c:pt>
                <c:pt idx="33">
                  <c:v>39.234006297329486</c:v>
                </c:pt>
                <c:pt idx="34">
                  <c:v>37.666459952575913</c:v>
                </c:pt>
                <c:pt idx="35">
                  <c:v>36.19078792054529</c:v>
                </c:pt>
                <c:pt idx="36">
                  <c:v>34.799465461773551</c:v>
                </c:pt>
                <c:pt idx="37">
                  <c:v>33.485767095415412</c:v>
                </c:pt>
                <c:pt idx="38">
                  <c:v>32.243662895986049</c:v>
                </c:pt>
                <c:pt idx="39">
                  <c:v>31.067730565818508</c:v>
                </c:pt>
                <c:pt idx="40">
                  <c:v>29.953080548212409</c:v>
                </c:pt>
                <c:pt idx="41">
                  <c:v>28.895291975664819</c:v>
                </c:pt>
                <c:pt idx="42">
                  <c:v>27.890357664329958</c:v>
                </c:pt>
                <c:pt idx="43">
                  <c:v>26.934636695989518</c:v>
                </c:pt>
                <c:pt idx="44">
                  <c:v>26.024813391896032</c:v>
                </c:pt>
                <c:pt idx="45">
                  <c:v>25.157861693685273</c:v>
                </c:pt>
                <c:pt idx="46">
                  <c:v>24.331014136429424</c:v>
                </c:pt>
                <c:pt idx="47">
                  <c:v>23.541734736479022</c:v>
                </c:pt>
                <c:pt idx="48">
                  <c:v>22.787695228706561</c:v>
                </c:pt>
                <c:pt idx="49">
                  <c:v>22.066754179311253</c:v>
                </c:pt>
                <c:pt idx="50">
                  <c:v>21.376938575531373</c:v>
                </c:pt>
                <c:pt idx="51">
                  <c:v>20.716427555624421</c:v>
                </c:pt>
                <c:pt idx="52">
                  <c:v>20.083537993833929</c:v>
                </c:pt>
                <c:pt idx="53">
                  <c:v>19.476711697762411</c:v>
                </c:pt>
                <c:pt idx="54">
                  <c:v>18.894504011205491</c:v>
                </c:pt>
                <c:pt idx="55">
                  <c:v>18.335573645349211</c:v>
                </c:pt>
                <c:pt idx="56">
                  <c:v>17.798673586318337</c:v>
                </c:pt>
                <c:pt idx="57">
                  <c:v>17.282642948216591</c:v>
                </c:pt>
                <c:pt idx="58">
                  <c:v>16.786399658695768</c:v>
                </c:pt>
                <c:pt idx="59">
                  <c:v>16.308933879276321</c:v>
                </c:pt>
                <c:pt idx="60">
                  <c:v>15.849302075567131</c:v>
                </c:pt>
                <c:pt idx="61">
                  <c:v>15.406621663564346</c:v>
                </c:pt>
                <c:pt idx="62">
                  <c:v>14.980066167652014</c:v>
                </c:pt>
                <c:pt idx="63">
                  <c:v>14.568860834031184</c:v>
                </c:pt>
                <c:pt idx="64">
                  <c:v>14.172278650277043</c:v>
                </c:pt>
                <c:pt idx="65">
                  <c:v>13.789636727738454</c:v>
                </c:pt>
                <c:pt idx="66">
                  <c:v>13.420293008694959</c:v>
                </c:pt>
                <c:pt idx="67">
                  <c:v>13.063643264693852</c:v>
                </c:pt>
                <c:pt idx="68">
                  <c:v>12.719118356405316</c:v>
                </c:pt>
                <c:pt idx="69">
                  <c:v>12.386181728742274</c:v>
                </c:pt>
                <c:pt idx="70">
                  <c:v>12.064327117965396</c:v>
                </c:pt>
                <c:pt idx="71">
                  <c:v>11.753076450093332</c:v>
                </c:pt>
                <c:pt idx="72">
                  <c:v>11.451977912215556</c:v>
                </c:pt>
                <c:pt idx="73">
                  <c:v>11.160604180303791</c:v>
                </c:pt>
                <c:pt idx="74">
                  <c:v>10.878550788875545</c:v>
                </c:pt>
                <c:pt idx="75">
                  <c:v>10.605434629411411</c:v>
                </c:pt>
                <c:pt idx="76">
                  <c:v>10.340892565794137</c:v>
                </c:pt>
                <c:pt idx="77">
                  <c:v>10.084580156245339</c:v>
                </c:pt>
                <c:pt idx="78">
                  <c:v>9.8361704723052572</c:v>
                </c:pt>
                <c:pt idx="79">
                  <c:v>9.5953530063496988</c:v>
                </c:pt>
                <c:pt idx="80">
                  <c:v>9.3618326599811148</c:v>
                </c:pt>
                <c:pt idx="81">
                  <c:v>9.1353288063805866</c:v>
                </c:pt>
                <c:pt idx="82">
                  <c:v>8.9155744203758633</c:v>
                </c:pt>
                <c:pt idx="83">
                  <c:v>8.7023152705768414</c:v>
                </c:pt>
                <c:pt idx="84">
                  <c:v>8.495309168462942</c:v>
                </c:pt>
                <c:pt idx="85">
                  <c:v>8.2943252697837799</c:v>
                </c:pt>
                <c:pt idx="86">
                  <c:v>8.0991434240620226</c:v>
                </c:pt>
                <c:pt idx="87">
                  <c:v>7.9095535683709386</c:v>
                </c:pt>
                <c:pt idx="88">
                  <c:v>7.7253551619038845</c:v>
                </c:pt>
                <c:pt idx="89">
                  <c:v>7.5463566581629671</c:v>
                </c:pt>
                <c:pt idx="90">
                  <c:v>7.3723750118736406</c:v>
                </c:pt>
                <c:pt idx="91">
                  <c:v>7.2032352179838304</c:v>
                </c:pt>
                <c:pt idx="92">
                  <c:v>7.0387698803337662</c:v>
                </c:pt>
                <c:pt idx="93">
                  <c:v>6.8788188077882895</c:v>
                </c:pt>
                <c:pt idx="94">
                  <c:v>6.72322863580965</c:v>
                </c:pt>
                <c:pt idx="95">
                  <c:v>6.571852471617361</c:v>
                </c:pt>
                <c:pt idx="96">
                  <c:v>6.4245495612347137</c:v>
                </c:pt>
                <c:pt idx="97">
                  <c:v>6.2811849768604056</c:v>
                </c:pt>
                <c:pt idx="98">
                  <c:v>6.141629323130017</c:v>
                </c:pt>
                <c:pt idx="99">
                  <c:v>6.0057584609469101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E0-4F71-B21B-5C91D6EA4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28800"/>
        <c:axId val="258329192"/>
      </c:scatterChart>
      <c:valAx>
        <c:axId val="25832880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258329192"/>
        <c:crosses val="autoZero"/>
        <c:crossBetween val="midCat"/>
      </c:valAx>
      <c:valAx>
        <c:axId val="25832919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258328800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72"/>
          <c:h val="0.7793956160885378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Calc_Area!$E$419:$E$518</c:f>
              <c:numCache>
                <c:formatCode>0.000</c:formatCode>
                <c:ptCount val="100"/>
                <c:pt idx="0">
                  <c:v>0</c:v>
                </c:pt>
                <c:pt idx="1">
                  <c:v>3.2545163792717631E-5</c:v>
                </c:pt>
                <c:pt idx="2">
                  <c:v>6.5090327585435261E-5</c:v>
                </c:pt>
                <c:pt idx="3">
                  <c:v>9.7635491378152898E-5</c:v>
                </c:pt>
                <c:pt idx="4">
                  <c:v>1.3018065517087052E-4</c:v>
                </c:pt>
                <c:pt idx="5">
                  <c:v>1.6272581896358815E-4</c:v>
                </c:pt>
                <c:pt idx="6">
                  <c:v>1.9527098275630577E-4</c:v>
                </c:pt>
                <c:pt idx="7">
                  <c:v>2.2781614654902339E-4</c:v>
                </c:pt>
                <c:pt idx="8">
                  <c:v>2.6036131034174104E-4</c:v>
                </c:pt>
                <c:pt idx="9">
                  <c:v>2.929064741344587E-4</c:v>
                </c:pt>
                <c:pt idx="10">
                  <c:v>3.2545163792717635E-4</c:v>
                </c:pt>
                <c:pt idx="11">
                  <c:v>3.57996801719894E-4</c:v>
                </c:pt>
                <c:pt idx="12">
                  <c:v>3.9054196551261165E-4</c:v>
                </c:pt>
                <c:pt idx="13">
                  <c:v>4.230871293053293E-4</c:v>
                </c:pt>
                <c:pt idx="14">
                  <c:v>4.5563229309804695E-4</c:v>
                </c:pt>
                <c:pt idx="15">
                  <c:v>4.881774568907646E-4</c:v>
                </c:pt>
                <c:pt idx="16">
                  <c:v>5.207226206834822E-4</c:v>
                </c:pt>
                <c:pt idx="17">
                  <c:v>5.5326778447619979E-4</c:v>
                </c:pt>
                <c:pt idx="18">
                  <c:v>5.8581294826891739E-4</c:v>
                </c:pt>
                <c:pt idx="19">
                  <c:v>6.1835811206163499E-4</c:v>
                </c:pt>
                <c:pt idx="20">
                  <c:v>6.5090327585435258E-4</c:v>
                </c:pt>
                <c:pt idx="21">
                  <c:v>6.8344843964707018E-4</c:v>
                </c:pt>
                <c:pt idx="22">
                  <c:v>7.1599360343978778E-4</c:v>
                </c:pt>
                <c:pt idx="23">
                  <c:v>7.4853876723250537E-4</c:v>
                </c:pt>
                <c:pt idx="24">
                  <c:v>7.8108393102522297E-4</c:v>
                </c:pt>
                <c:pt idx="25">
                  <c:v>8.1362909481794057E-4</c:v>
                </c:pt>
                <c:pt idx="26">
                  <c:v>8.4617425861065816E-4</c:v>
                </c:pt>
                <c:pt idx="27">
                  <c:v>8.7871942240337576E-4</c:v>
                </c:pt>
                <c:pt idx="28">
                  <c:v>9.1126458619609336E-4</c:v>
                </c:pt>
                <c:pt idx="29">
                  <c:v>9.4380974998881095E-4</c:v>
                </c:pt>
                <c:pt idx="30">
                  <c:v>9.7635491378152855E-4</c:v>
                </c:pt>
                <c:pt idx="31">
                  <c:v>1.0089000775742461E-3</c:v>
                </c:pt>
                <c:pt idx="32">
                  <c:v>1.0414452413669637E-3</c:v>
                </c:pt>
                <c:pt idx="33">
                  <c:v>1.0739904051596813E-3</c:v>
                </c:pt>
                <c:pt idx="34">
                  <c:v>1.1065355689523989E-3</c:v>
                </c:pt>
                <c:pt idx="35">
                  <c:v>1.1390807327451165E-3</c:v>
                </c:pt>
                <c:pt idx="36">
                  <c:v>1.1716258965378341E-3</c:v>
                </c:pt>
                <c:pt idx="37">
                  <c:v>1.2041710603305517E-3</c:v>
                </c:pt>
                <c:pt idx="38">
                  <c:v>1.2367162241232693E-3</c:v>
                </c:pt>
                <c:pt idx="39">
                  <c:v>1.2692613879159869E-3</c:v>
                </c:pt>
                <c:pt idx="40">
                  <c:v>1.3018065517087045E-3</c:v>
                </c:pt>
                <c:pt idx="41">
                  <c:v>1.3343517155014221E-3</c:v>
                </c:pt>
                <c:pt idx="42">
                  <c:v>1.3668968792941397E-3</c:v>
                </c:pt>
                <c:pt idx="43">
                  <c:v>1.3994420430868573E-3</c:v>
                </c:pt>
                <c:pt idx="44">
                  <c:v>1.4319872068795749E-3</c:v>
                </c:pt>
                <c:pt idx="45">
                  <c:v>1.4645323706722925E-3</c:v>
                </c:pt>
                <c:pt idx="46">
                  <c:v>1.4970775344650101E-3</c:v>
                </c:pt>
                <c:pt idx="47">
                  <c:v>1.5296226982577277E-3</c:v>
                </c:pt>
                <c:pt idx="48">
                  <c:v>1.5621678620504453E-3</c:v>
                </c:pt>
                <c:pt idx="49">
                  <c:v>1.5947130258431629E-3</c:v>
                </c:pt>
                <c:pt idx="50">
                  <c:v>1.6272581896358805E-3</c:v>
                </c:pt>
                <c:pt idx="51">
                  <c:v>1.6598033534285981E-3</c:v>
                </c:pt>
                <c:pt idx="52">
                  <c:v>1.6923485172213157E-3</c:v>
                </c:pt>
                <c:pt idx="53">
                  <c:v>1.7248936810140333E-3</c:v>
                </c:pt>
                <c:pt idx="54">
                  <c:v>1.7574388448067509E-3</c:v>
                </c:pt>
                <c:pt idx="55">
                  <c:v>1.7899840085994685E-3</c:v>
                </c:pt>
                <c:pt idx="56">
                  <c:v>1.8225291723921861E-3</c:v>
                </c:pt>
                <c:pt idx="57">
                  <c:v>1.8550743361849037E-3</c:v>
                </c:pt>
                <c:pt idx="58">
                  <c:v>1.8876194999776213E-3</c:v>
                </c:pt>
                <c:pt idx="59">
                  <c:v>1.9201646637703389E-3</c:v>
                </c:pt>
                <c:pt idx="60">
                  <c:v>1.9527098275630564E-3</c:v>
                </c:pt>
                <c:pt idx="61">
                  <c:v>1.985254991355774E-3</c:v>
                </c:pt>
                <c:pt idx="62">
                  <c:v>2.0178001551484919E-3</c:v>
                </c:pt>
                <c:pt idx="63">
                  <c:v>2.0503453189412097E-3</c:v>
                </c:pt>
                <c:pt idx="64">
                  <c:v>2.0828904827339275E-3</c:v>
                </c:pt>
                <c:pt idx="65">
                  <c:v>2.1154356465266453E-3</c:v>
                </c:pt>
                <c:pt idx="66">
                  <c:v>2.1479808103193631E-3</c:v>
                </c:pt>
                <c:pt idx="67">
                  <c:v>2.1805259741120809E-3</c:v>
                </c:pt>
                <c:pt idx="68">
                  <c:v>2.2130711379047987E-3</c:v>
                </c:pt>
                <c:pt idx="69">
                  <c:v>2.2456163016975166E-3</c:v>
                </c:pt>
                <c:pt idx="70">
                  <c:v>2.2781614654902344E-3</c:v>
                </c:pt>
                <c:pt idx="71">
                  <c:v>2.3107066292829522E-3</c:v>
                </c:pt>
                <c:pt idx="72">
                  <c:v>2.34325179307567E-3</c:v>
                </c:pt>
                <c:pt idx="73">
                  <c:v>2.3757969568683878E-3</c:v>
                </c:pt>
                <c:pt idx="74">
                  <c:v>2.4083421206611056E-3</c:v>
                </c:pt>
                <c:pt idx="75">
                  <c:v>2.4408872844538234E-3</c:v>
                </c:pt>
                <c:pt idx="76">
                  <c:v>2.4734324482465412E-3</c:v>
                </c:pt>
                <c:pt idx="77">
                  <c:v>2.5059776120392591E-3</c:v>
                </c:pt>
                <c:pt idx="78">
                  <c:v>2.5385227758319769E-3</c:v>
                </c:pt>
                <c:pt idx="79">
                  <c:v>2.5710679396246947E-3</c:v>
                </c:pt>
                <c:pt idx="80">
                  <c:v>2.6036131034174125E-3</c:v>
                </c:pt>
                <c:pt idx="81">
                  <c:v>2.6361582672101303E-3</c:v>
                </c:pt>
                <c:pt idx="82">
                  <c:v>2.6687034310028481E-3</c:v>
                </c:pt>
                <c:pt idx="83">
                  <c:v>2.7012485947955659E-3</c:v>
                </c:pt>
                <c:pt idx="84">
                  <c:v>2.7337937585882838E-3</c:v>
                </c:pt>
                <c:pt idx="85">
                  <c:v>2.7663389223810016E-3</c:v>
                </c:pt>
                <c:pt idx="86">
                  <c:v>2.7988840861737194E-3</c:v>
                </c:pt>
                <c:pt idx="87">
                  <c:v>2.8314292499664372E-3</c:v>
                </c:pt>
                <c:pt idx="88">
                  <c:v>2.863974413759155E-3</c:v>
                </c:pt>
                <c:pt idx="89">
                  <c:v>2.8965195775518728E-3</c:v>
                </c:pt>
                <c:pt idx="90">
                  <c:v>2.9290647413445906E-3</c:v>
                </c:pt>
                <c:pt idx="91">
                  <c:v>2.9616099051373085E-3</c:v>
                </c:pt>
                <c:pt idx="92">
                  <c:v>2.9941550689300263E-3</c:v>
                </c:pt>
                <c:pt idx="93">
                  <c:v>3.0267002327227441E-3</c:v>
                </c:pt>
                <c:pt idx="94">
                  <c:v>3.0592453965154619E-3</c:v>
                </c:pt>
                <c:pt idx="95">
                  <c:v>3.0917905603081797E-3</c:v>
                </c:pt>
                <c:pt idx="96">
                  <c:v>3.1243357241008975E-3</c:v>
                </c:pt>
                <c:pt idx="97">
                  <c:v>3.1568808878936153E-3</c:v>
                </c:pt>
                <c:pt idx="98">
                  <c:v>3.1894260516863331E-3</c:v>
                </c:pt>
                <c:pt idx="99">
                  <c:v>3.221971215479051E-3</c:v>
                </c:pt>
              </c:numCache>
            </c:numRef>
          </c:xVal>
          <c:yVal>
            <c:numRef>
              <c:f>Calc_Area!$H$419:$H$518</c:f>
              <c:numCache>
                <c:formatCode>General</c:formatCode>
                <c:ptCount val="100"/>
                <c:pt idx="0">
                  <c:v>0</c:v>
                </c:pt>
                <c:pt idx="1">
                  <c:v>0.77651385762658165</c:v>
                </c:pt>
                <c:pt idx="2">
                  <c:v>0.81215907152201572</c:v>
                </c:pt>
                <c:pt idx="3">
                  <c:v>0.83349456205419081</c:v>
                </c:pt>
                <c:pt idx="4">
                  <c:v>0.84878165205453071</c:v>
                </c:pt>
                <c:pt idx="5">
                  <c:v>0.86068522721844332</c:v>
                </c:pt>
                <c:pt idx="6">
                  <c:v>0.87041530336327677</c:v>
                </c:pt>
                <c:pt idx="7">
                  <c:v>0.87862690198102833</c:v>
                </c:pt>
                <c:pt idx="8">
                  <c:v>0.88571574201450876</c:v>
                </c:pt>
                <c:pt idx="9">
                  <c:v>0.89193969067473855</c:v>
                </c:pt>
                <c:pt idx="10">
                  <c:v>0.89747639181952688</c:v>
                </c:pt>
                <c:pt idx="11">
                  <c:v>0.90245355607824551</c:v>
                </c:pt>
                <c:pt idx="12">
                  <c:v>0.90696615237173162</c:v>
                </c:pt>
                <c:pt idx="13">
                  <c:v>0.91108676823493329</c:v>
                </c:pt>
                <c:pt idx="14">
                  <c:v>0.91487216194551224</c:v>
                </c:pt>
                <c:pt idx="15">
                  <c:v>0.9183675740610745</c:v>
                </c:pt>
                <c:pt idx="16">
                  <c:v>0.92160966055162452</c:v>
                </c:pt>
                <c:pt idx="17">
                  <c:v>0.92462854549862716</c:v>
                </c:pt>
                <c:pt idx="18">
                  <c:v>0.92744929310670177</c:v>
                </c:pt>
                <c:pt idx="19">
                  <c:v>0.93009298595904411</c:v>
                </c:pt>
                <c:pt idx="20">
                  <c:v>0.93257752972785846</c:v>
                </c:pt>
                <c:pt idx="21">
                  <c:v>0.93491826375234166</c:v>
                </c:pt>
                <c:pt idx="22">
                  <c:v>0.93712843120621858</c:v>
                </c:pt>
                <c:pt idx="23">
                  <c:v>0.93921954597425372</c:v>
                </c:pt>
                <c:pt idx="24">
                  <c:v>0.94120168237632029</c:v>
                </c:pt>
                <c:pt idx="25">
                  <c:v>0.9430837064623625</c:v>
                </c:pt>
                <c:pt idx="26">
                  <c:v>0.94487346249924808</c:v>
                </c:pt>
                <c:pt idx="27">
                  <c:v>0.94657792469931068</c:v>
                </c:pt>
                <c:pt idx="28">
                  <c:v>0.94820332170171362</c:v>
                </c:pt>
                <c:pt idx="29">
                  <c:v>0.94975523948722262</c:v>
                </c:pt>
                <c:pt idx="30">
                  <c:v>0.95123870706967528</c:v>
                </c:pt>
                <c:pt idx="31">
                  <c:v>0.95265826831858591</c:v>
                </c:pt>
                <c:pt idx="32">
                  <c:v>0.95401804252796274</c:v>
                </c:pt>
                <c:pt idx="33">
                  <c:v>0.95532177578778943</c:v>
                </c:pt>
                <c:pt idx="34">
                  <c:v>0.95657288478850588</c:v>
                </c:pt>
                <c:pt idx="35">
                  <c:v>0.95777449436081341</c:v>
                </c:pt>
                <c:pt idx="36">
                  <c:v>0.95892946979851978</c:v>
                </c:pt>
                <c:pt idx="37">
                  <c:v>0.96004044481293849</c:v>
                </c:pt>
                <c:pt idx="38">
                  <c:v>0.9611098458103382</c:v>
                </c:pt>
                <c:pt idx="39">
                  <c:v>0.96213991305931801</c:v>
                </c:pt>
                <c:pt idx="40">
                  <c:v>0.96313271921540666</c:v>
                </c:pt>
                <c:pt idx="41">
                  <c:v>0.96409018559014004</c:v>
                </c:pt>
                <c:pt idx="42">
                  <c:v>0.96501409648713632</c:v>
                </c:pt>
                <c:pt idx="43">
                  <c:v>0.96590611187504327</c:v>
                </c:pt>
                <c:pt idx="44">
                  <c:v>0.96676777862420604</c:v>
                </c:pt>
                <c:pt idx="45">
                  <c:v>0.9676005404985405</c:v>
                </c:pt>
                <c:pt idx="46">
                  <c:v>0.96840574706491278</c:v>
                </c:pt>
                <c:pt idx="47">
                  <c:v>0.96918466165812034</c:v>
                </c:pt>
                <c:pt idx="48">
                  <c:v>0.96993846851940624</c:v>
                </c:pt>
                <c:pt idx="49">
                  <c:v>0.97066827920957899</c:v>
                </c:pt>
                <c:pt idx="50">
                  <c:v>0.9713751383836533</c:v>
                </c:pt>
                <c:pt idx="51">
                  <c:v>0.97206002900199007</c:v>
                </c:pt>
                <c:pt idx="52">
                  <c:v>0.97272387704282437</c:v>
                </c:pt>
                <c:pt idx="53">
                  <c:v>0.97336755577249712</c:v>
                </c:pt>
                <c:pt idx="54">
                  <c:v>0.97399188962241245</c:v>
                </c:pt>
                <c:pt idx="55">
                  <c:v>0.97459765771550533</c:v>
                </c:pt>
                <c:pt idx="56">
                  <c:v>0.97518559707966046</c:v>
                </c:pt>
                <c:pt idx="57">
                  <c:v>0.97575640558093069</c:v>
                </c:pt>
                <c:pt idx="58">
                  <c:v>0.97631074460544276</c:v>
                </c:pt>
                <c:pt idx="59">
                  <c:v>0.97684924151545749</c:v>
                </c:pt>
                <c:pt idx="60">
                  <c:v>0.97737249190208242</c:v>
                </c:pt>
                <c:pt idx="61">
                  <c:v>0.9778810616545599</c:v>
                </c:pt>
                <c:pt idx="62">
                  <c:v>0.97837548886380798</c:v>
                </c:pt>
                <c:pt idx="63">
                  <c:v>0.97885628557593085</c:v>
                </c:pt>
                <c:pt idx="64">
                  <c:v>0.97932393940970242</c:v>
                </c:pt>
                <c:pt idx="65">
                  <c:v>0.97977891505051851</c:v>
                </c:pt>
                <c:pt idx="66">
                  <c:v>0.98022165563199704</c:v>
                </c:pt>
                <c:pt idx="67">
                  <c:v>0.98065258401523414</c:v>
                </c:pt>
                <c:pt idx="68">
                  <c:v>0.98107210397470279</c:v>
                </c:pt>
                <c:pt idx="69">
                  <c:v>0.9814806012988686</c:v>
                </c:pt>
                <c:pt idx="70">
                  <c:v>0.9818784448127913</c:v>
                </c:pt>
                <c:pt idx="71">
                  <c:v>0.9822659873292714</c:v>
                </c:pt>
                <c:pt idx="72">
                  <c:v>0.98264356653445972</c:v>
                </c:pt>
                <c:pt idx="73">
                  <c:v>0.983011505813286</c:v>
                </c:pt>
                <c:pt idx="74">
                  <c:v>0.9833701150195584</c:v>
                </c:pt>
                <c:pt idx="75">
                  <c:v>0.98371969119513036</c:v>
                </c:pt>
                <c:pt idx="76">
                  <c:v>0.98406051924213456</c:v>
                </c:pt>
                <c:pt idx="77">
                  <c:v>0.98439287255191443</c:v>
                </c:pt>
                <c:pt idx="78">
                  <c:v>0.9847170135939648</c:v>
                </c:pt>
                <c:pt idx="79">
                  <c:v>0.98503319446789983</c:v>
                </c:pt>
                <c:pt idx="80">
                  <c:v>0.98534165742119983</c:v>
                </c:pt>
                <c:pt idx="81">
                  <c:v>0.98564263533525764</c:v>
                </c:pt>
                <c:pt idx="82">
                  <c:v>0.98593635218202669</c:v>
                </c:pt>
                <c:pt idx="83">
                  <c:v>0.98622302345338175</c:v>
                </c:pt>
                <c:pt idx="84">
                  <c:v>0.98650285656512715</c:v>
                </c:pt>
                <c:pt idx="85">
                  <c:v>0.9867760512374304</c:v>
                </c:pt>
                <c:pt idx="86">
                  <c:v>0.98704279985331278</c:v>
                </c:pt>
                <c:pt idx="87">
                  <c:v>0.98730328779669951</c:v>
                </c:pt>
                <c:pt idx="88">
                  <c:v>0.98755769377141434</c:v>
                </c:pt>
                <c:pt idx="89">
                  <c:v>0.9878061901023909</c:v>
                </c:pt>
                <c:pt idx="90">
                  <c:v>0.98804894302028035</c:v>
                </c:pt>
                <c:pt idx="91">
                  <c:v>0.98828611293053936</c:v>
                </c:pt>
                <c:pt idx="92">
                  <c:v>0.98851785466800424</c:v>
                </c:pt>
                <c:pt idx="93">
                  <c:v>0.98874431773788019</c:v>
                </c:pt>
                <c:pt idx="94">
                  <c:v>0.98896564654400576</c:v>
                </c:pt>
                <c:pt idx="95">
                  <c:v>0.98918198060518914</c:v>
                </c:pt>
                <c:pt idx="96">
                  <c:v>0.98939345476035789</c:v>
                </c:pt>
                <c:pt idx="97">
                  <c:v>0.9896001993632072</c:v>
                </c:pt>
                <c:pt idx="98">
                  <c:v>0.98980234046698368</c:v>
                </c:pt>
                <c:pt idx="99">
                  <c:v>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03-43D8-979F-1918D8D9394F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Calc_Area!$E$419:$E$518</c:f>
              <c:numCache>
                <c:formatCode>0.000</c:formatCode>
                <c:ptCount val="100"/>
                <c:pt idx="0">
                  <c:v>0</c:v>
                </c:pt>
                <c:pt idx="1">
                  <c:v>3.2545163792717631E-5</c:v>
                </c:pt>
                <c:pt idx="2">
                  <c:v>6.5090327585435261E-5</c:v>
                </c:pt>
                <c:pt idx="3">
                  <c:v>9.7635491378152898E-5</c:v>
                </c:pt>
                <c:pt idx="4">
                  <c:v>1.3018065517087052E-4</c:v>
                </c:pt>
                <c:pt idx="5">
                  <c:v>1.6272581896358815E-4</c:v>
                </c:pt>
                <c:pt idx="6">
                  <c:v>1.9527098275630577E-4</c:v>
                </c:pt>
                <c:pt idx="7">
                  <c:v>2.2781614654902339E-4</c:v>
                </c:pt>
                <c:pt idx="8">
                  <c:v>2.6036131034174104E-4</c:v>
                </c:pt>
                <c:pt idx="9">
                  <c:v>2.929064741344587E-4</c:v>
                </c:pt>
                <c:pt idx="10">
                  <c:v>3.2545163792717635E-4</c:v>
                </c:pt>
                <c:pt idx="11">
                  <c:v>3.57996801719894E-4</c:v>
                </c:pt>
                <c:pt idx="12">
                  <c:v>3.9054196551261165E-4</c:v>
                </c:pt>
                <c:pt idx="13">
                  <c:v>4.230871293053293E-4</c:v>
                </c:pt>
                <c:pt idx="14">
                  <c:v>4.5563229309804695E-4</c:v>
                </c:pt>
                <c:pt idx="15">
                  <c:v>4.881774568907646E-4</c:v>
                </c:pt>
                <c:pt idx="16">
                  <c:v>5.207226206834822E-4</c:v>
                </c:pt>
                <c:pt idx="17">
                  <c:v>5.5326778447619979E-4</c:v>
                </c:pt>
                <c:pt idx="18">
                  <c:v>5.8581294826891739E-4</c:v>
                </c:pt>
                <c:pt idx="19">
                  <c:v>6.1835811206163499E-4</c:v>
                </c:pt>
                <c:pt idx="20">
                  <c:v>6.5090327585435258E-4</c:v>
                </c:pt>
                <c:pt idx="21">
                  <c:v>6.8344843964707018E-4</c:v>
                </c:pt>
                <c:pt idx="22">
                  <c:v>7.1599360343978778E-4</c:v>
                </c:pt>
                <c:pt idx="23">
                  <c:v>7.4853876723250537E-4</c:v>
                </c:pt>
                <c:pt idx="24">
                  <c:v>7.8108393102522297E-4</c:v>
                </c:pt>
                <c:pt idx="25">
                  <c:v>8.1362909481794057E-4</c:v>
                </c:pt>
                <c:pt idx="26">
                  <c:v>8.4617425861065816E-4</c:v>
                </c:pt>
                <c:pt idx="27">
                  <c:v>8.7871942240337576E-4</c:v>
                </c:pt>
                <c:pt idx="28">
                  <c:v>9.1126458619609336E-4</c:v>
                </c:pt>
                <c:pt idx="29">
                  <c:v>9.4380974998881095E-4</c:v>
                </c:pt>
                <c:pt idx="30">
                  <c:v>9.7635491378152855E-4</c:v>
                </c:pt>
                <c:pt idx="31">
                  <c:v>1.0089000775742461E-3</c:v>
                </c:pt>
                <c:pt idx="32">
                  <c:v>1.0414452413669637E-3</c:v>
                </c:pt>
                <c:pt idx="33">
                  <c:v>1.0739904051596813E-3</c:v>
                </c:pt>
                <c:pt idx="34">
                  <c:v>1.1065355689523989E-3</c:v>
                </c:pt>
                <c:pt idx="35">
                  <c:v>1.1390807327451165E-3</c:v>
                </c:pt>
                <c:pt idx="36">
                  <c:v>1.1716258965378341E-3</c:v>
                </c:pt>
                <c:pt idx="37">
                  <c:v>1.2041710603305517E-3</c:v>
                </c:pt>
                <c:pt idx="38">
                  <c:v>1.2367162241232693E-3</c:v>
                </c:pt>
                <c:pt idx="39">
                  <c:v>1.2692613879159869E-3</c:v>
                </c:pt>
                <c:pt idx="40">
                  <c:v>1.3018065517087045E-3</c:v>
                </c:pt>
                <c:pt idx="41">
                  <c:v>1.3343517155014221E-3</c:v>
                </c:pt>
                <c:pt idx="42">
                  <c:v>1.3668968792941397E-3</c:v>
                </c:pt>
                <c:pt idx="43">
                  <c:v>1.3994420430868573E-3</c:v>
                </c:pt>
                <c:pt idx="44">
                  <c:v>1.4319872068795749E-3</c:v>
                </c:pt>
                <c:pt idx="45">
                  <c:v>1.4645323706722925E-3</c:v>
                </c:pt>
                <c:pt idx="46">
                  <c:v>1.4970775344650101E-3</c:v>
                </c:pt>
                <c:pt idx="47">
                  <c:v>1.5296226982577277E-3</c:v>
                </c:pt>
                <c:pt idx="48">
                  <c:v>1.5621678620504453E-3</c:v>
                </c:pt>
                <c:pt idx="49">
                  <c:v>1.5947130258431629E-3</c:v>
                </c:pt>
                <c:pt idx="50">
                  <c:v>1.6272581896358805E-3</c:v>
                </c:pt>
                <c:pt idx="51">
                  <c:v>1.6598033534285981E-3</c:v>
                </c:pt>
                <c:pt idx="52">
                  <c:v>1.6923485172213157E-3</c:v>
                </c:pt>
                <c:pt idx="53">
                  <c:v>1.7248936810140333E-3</c:v>
                </c:pt>
                <c:pt idx="54">
                  <c:v>1.7574388448067509E-3</c:v>
                </c:pt>
                <c:pt idx="55">
                  <c:v>1.7899840085994685E-3</c:v>
                </c:pt>
                <c:pt idx="56">
                  <c:v>1.8225291723921861E-3</c:v>
                </c:pt>
                <c:pt idx="57">
                  <c:v>1.8550743361849037E-3</c:v>
                </c:pt>
                <c:pt idx="58">
                  <c:v>1.8876194999776213E-3</c:v>
                </c:pt>
                <c:pt idx="59">
                  <c:v>1.9201646637703389E-3</c:v>
                </c:pt>
                <c:pt idx="60">
                  <c:v>1.9527098275630564E-3</c:v>
                </c:pt>
                <c:pt idx="61">
                  <c:v>1.985254991355774E-3</c:v>
                </c:pt>
                <c:pt idx="62">
                  <c:v>2.0178001551484919E-3</c:v>
                </c:pt>
                <c:pt idx="63">
                  <c:v>2.0503453189412097E-3</c:v>
                </c:pt>
                <c:pt idx="64">
                  <c:v>2.0828904827339275E-3</c:v>
                </c:pt>
                <c:pt idx="65">
                  <c:v>2.1154356465266453E-3</c:v>
                </c:pt>
                <c:pt idx="66">
                  <c:v>2.1479808103193631E-3</c:v>
                </c:pt>
                <c:pt idx="67">
                  <c:v>2.1805259741120809E-3</c:v>
                </c:pt>
                <c:pt idx="68">
                  <c:v>2.2130711379047987E-3</c:v>
                </c:pt>
                <c:pt idx="69">
                  <c:v>2.2456163016975166E-3</c:v>
                </c:pt>
                <c:pt idx="70">
                  <c:v>2.2781614654902344E-3</c:v>
                </c:pt>
                <c:pt idx="71">
                  <c:v>2.3107066292829522E-3</c:v>
                </c:pt>
                <c:pt idx="72">
                  <c:v>2.34325179307567E-3</c:v>
                </c:pt>
                <c:pt idx="73">
                  <c:v>2.3757969568683878E-3</c:v>
                </c:pt>
                <c:pt idx="74">
                  <c:v>2.4083421206611056E-3</c:v>
                </c:pt>
                <c:pt idx="75">
                  <c:v>2.4408872844538234E-3</c:v>
                </c:pt>
                <c:pt idx="76">
                  <c:v>2.4734324482465412E-3</c:v>
                </c:pt>
                <c:pt idx="77">
                  <c:v>2.5059776120392591E-3</c:v>
                </c:pt>
                <c:pt idx="78">
                  <c:v>2.5385227758319769E-3</c:v>
                </c:pt>
                <c:pt idx="79">
                  <c:v>2.5710679396246947E-3</c:v>
                </c:pt>
                <c:pt idx="80">
                  <c:v>2.6036131034174125E-3</c:v>
                </c:pt>
                <c:pt idx="81">
                  <c:v>2.6361582672101303E-3</c:v>
                </c:pt>
                <c:pt idx="82">
                  <c:v>2.6687034310028481E-3</c:v>
                </c:pt>
                <c:pt idx="83">
                  <c:v>2.7012485947955659E-3</c:v>
                </c:pt>
                <c:pt idx="84">
                  <c:v>2.7337937585882838E-3</c:v>
                </c:pt>
                <c:pt idx="85">
                  <c:v>2.7663389223810016E-3</c:v>
                </c:pt>
                <c:pt idx="86">
                  <c:v>2.7988840861737194E-3</c:v>
                </c:pt>
                <c:pt idx="87">
                  <c:v>2.8314292499664372E-3</c:v>
                </c:pt>
                <c:pt idx="88">
                  <c:v>2.863974413759155E-3</c:v>
                </c:pt>
                <c:pt idx="89">
                  <c:v>2.8965195775518728E-3</c:v>
                </c:pt>
                <c:pt idx="90">
                  <c:v>2.9290647413445906E-3</c:v>
                </c:pt>
                <c:pt idx="91">
                  <c:v>2.9616099051373085E-3</c:v>
                </c:pt>
                <c:pt idx="92">
                  <c:v>2.9941550689300263E-3</c:v>
                </c:pt>
                <c:pt idx="93">
                  <c:v>3.0267002327227441E-3</c:v>
                </c:pt>
                <c:pt idx="94">
                  <c:v>3.0592453965154619E-3</c:v>
                </c:pt>
                <c:pt idx="95">
                  <c:v>3.0917905603081797E-3</c:v>
                </c:pt>
                <c:pt idx="96">
                  <c:v>3.1243357241008975E-3</c:v>
                </c:pt>
                <c:pt idx="97">
                  <c:v>3.1568808878936153E-3</c:v>
                </c:pt>
                <c:pt idx="98">
                  <c:v>3.1894260516863331E-3</c:v>
                </c:pt>
                <c:pt idx="99">
                  <c:v>3.221971215479051E-3</c:v>
                </c:pt>
              </c:numCache>
            </c:numRef>
          </c:xVal>
          <c:yVal>
            <c:numRef>
              <c:f>Calc_Area!$I$419:$I$518</c:f>
              <c:numCache>
                <c:formatCode>General</c:formatCode>
                <c:ptCount val="100"/>
                <c:pt idx="0">
                  <c:v>0</c:v>
                </c:pt>
                <c:pt idx="1">
                  <c:v>0.77651385762658165</c:v>
                </c:pt>
                <c:pt idx="2">
                  <c:v>0.81215907152201572</c:v>
                </c:pt>
                <c:pt idx="3">
                  <c:v>0.83349456205419081</c:v>
                </c:pt>
                <c:pt idx="4">
                  <c:v>0.84878165205453071</c:v>
                </c:pt>
                <c:pt idx="5">
                  <c:v>0.86068522721844332</c:v>
                </c:pt>
                <c:pt idx="6">
                  <c:v>0.87041530336327677</c:v>
                </c:pt>
                <c:pt idx="7">
                  <c:v>0.87862690198102833</c:v>
                </c:pt>
                <c:pt idx="8">
                  <c:v>0.88571574201450876</c:v>
                </c:pt>
                <c:pt idx="9">
                  <c:v>0.89193969067473855</c:v>
                </c:pt>
                <c:pt idx="10">
                  <c:v>0.89747639181952688</c:v>
                </c:pt>
                <c:pt idx="11">
                  <c:v>0.90245355607824551</c:v>
                </c:pt>
                <c:pt idx="12">
                  <c:v>0.90696615237173162</c:v>
                </c:pt>
                <c:pt idx="13">
                  <c:v>0.91108676823493329</c:v>
                </c:pt>
                <c:pt idx="14">
                  <c:v>0.91487216194551224</c:v>
                </c:pt>
                <c:pt idx="15">
                  <c:v>0.9183675740610745</c:v>
                </c:pt>
                <c:pt idx="16">
                  <c:v>0.92160966055162452</c:v>
                </c:pt>
                <c:pt idx="17">
                  <c:v>0.92462854549862716</c:v>
                </c:pt>
                <c:pt idx="18">
                  <c:v>0.92744929310670177</c:v>
                </c:pt>
                <c:pt idx="19">
                  <c:v>0.93009298595904411</c:v>
                </c:pt>
                <c:pt idx="20">
                  <c:v>0.93257752972785846</c:v>
                </c:pt>
                <c:pt idx="21">
                  <c:v>0.93491826375234166</c:v>
                </c:pt>
                <c:pt idx="22">
                  <c:v>0.93712843120621858</c:v>
                </c:pt>
                <c:pt idx="23">
                  <c:v>0.93921954597425372</c:v>
                </c:pt>
                <c:pt idx="24">
                  <c:v>0.94120168237632029</c:v>
                </c:pt>
                <c:pt idx="25">
                  <c:v>0.9430837064623625</c:v>
                </c:pt>
                <c:pt idx="26">
                  <c:v>0.94487346249924808</c:v>
                </c:pt>
                <c:pt idx="27">
                  <c:v>0.94657792469931068</c:v>
                </c:pt>
                <c:pt idx="28">
                  <c:v>0.94820332170171362</c:v>
                </c:pt>
                <c:pt idx="29">
                  <c:v>0.94975523948722262</c:v>
                </c:pt>
                <c:pt idx="30">
                  <c:v>0.95123870706967528</c:v>
                </c:pt>
                <c:pt idx="31">
                  <c:v>0.95265826831858591</c:v>
                </c:pt>
                <c:pt idx="32">
                  <c:v>0.95401804252796274</c:v>
                </c:pt>
                <c:pt idx="33">
                  <c:v>0.95532177578778943</c:v>
                </c:pt>
                <c:pt idx="34">
                  <c:v>0.95657288478850588</c:v>
                </c:pt>
                <c:pt idx="35">
                  <c:v>0.95777449436081341</c:v>
                </c:pt>
                <c:pt idx="36">
                  <c:v>0.95892946979851978</c:v>
                </c:pt>
                <c:pt idx="37">
                  <c:v>0.96004044481293849</c:v>
                </c:pt>
                <c:pt idx="38">
                  <c:v>0.9611098458103382</c:v>
                </c:pt>
                <c:pt idx="39">
                  <c:v>0.96213991305931801</c:v>
                </c:pt>
                <c:pt idx="40">
                  <c:v>0.96313271921540666</c:v>
                </c:pt>
                <c:pt idx="41">
                  <c:v>0.96409018559014004</c:v>
                </c:pt>
                <c:pt idx="42">
                  <c:v>0.96501409648713632</c:v>
                </c:pt>
                <c:pt idx="43">
                  <c:v>0.96590611187504327</c:v>
                </c:pt>
                <c:pt idx="44">
                  <c:v>0.96676777862420604</c:v>
                </c:pt>
                <c:pt idx="45">
                  <c:v>0.9676005404985405</c:v>
                </c:pt>
                <c:pt idx="46">
                  <c:v>0.96840574706491278</c:v>
                </c:pt>
                <c:pt idx="47">
                  <c:v>0.96918466165812034</c:v>
                </c:pt>
                <c:pt idx="48">
                  <c:v>0.96993846851940624</c:v>
                </c:pt>
                <c:pt idx="49">
                  <c:v>0.97066827920957899</c:v>
                </c:pt>
                <c:pt idx="50">
                  <c:v>0.9713751383836533</c:v>
                </c:pt>
                <c:pt idx="51">
                  <c:v>0.97206002900199007</c:v>
                </c:pt>
                <c:pt idx="52">
                  <c:v>0.97272387704282437</c:v>
                </c:pt>
                <c:pt idx="53">
                  <c:v>0.97336755577249712</c:v>
                </c:pt>
                <c:pt idx="54">
                  <c:v>0.97399188962241245</c:v>
                </c:pt>
                <c:pt idx="55">
                  <c:v>0.97459765771550533</c:v>
                </c:pt>
                <c:pt idx="56">
                  <c:v>0.97518559707966046</c:v>
                </c:pt>
                <c:pt idx="57">
                  <c:v>0.97575640558093069</c:v>
                </c:pt>
                <c:pt idx="58">
                  <c:v>0.97631074460544276</c:v>
                </c:pt>
                <c:pt idx="59">
                  <c:v>0.97684924151545749</c:v>
                </c:pt>
                <c:pt idx="60">
                  <c:v>0.97737249190208242</c:v>
                </c:pt>
                <c:pt idx="61">
                  <c:v>0.9778810616545599</c:v>
                </c:pt>
                <c:pt idx="62">
                  <c:v>0.97837548886380798</c:v>
                </c:pt>
                <c:pt idx="63">
                  <c:v>0.97885628557593085</c:v>
                </c:pt>
                <c:pt idx="64">
                  <c:v>0.97932393940970242</c:v>
                </c:pt>
                <c:pt idx="65">
                  <c:v>0.97977891505051851</c:v>
                </c:pt>
                <c:pt idx="66">
                  <c:v>0.98022165563199704</c:v>
                </c:pt>
                <c:pt idx="67">
                  <c:v>0.98065258401523414</c:v>
                </c:pt>
                <c:pt idx="68">
                  <c:v>0.98107210397470279</c:v>
                </c:pt>
                <c:pt idx="69">
                  <c:v>0.9814806012988686</c:v>
                </c:pt>
                <c:pt idx="70">
                  <c:v>0.9818784448127913</c:v>
                </c:pt>
                <c:pt idx="71">
                  <c:v>0.9822659873292714</c:v>
                </c:pt>
                <c:pt idx="72">
                  <c:v>0.98264356653445972</c:v>
                </c:pt>
                <c:pt idx="73">
                  <c:v>0.983011505813286</c:v>
                </c:pt>
                <c:pt idx="74">
                  <c:v>0.9833701150195584</c:v>
                </c:pt>
                <c:pt idx="75">
                  <c:v>0.98371969119513036</c:v>
                </c:pt>
                <c:pt idx="76">
                  <c:v>0.98406051924213456</c:v>
                </c:pt>
                <c:pt idx="77">
                  <c:v>0.98439287255191443</c:v>
                </c:pt>
                <c:pt idx="78">
                  <c:v>0.9847170135939648</c:v>
                </c:pt>
                <c:pt idx="79">
                  <c:v>0.98503319446789983</c:v>
                </c:pt>
                <c:pt idx="80">
                  <c:v>0.98534165742119983</c:v>
                </c:pt>
                <c:pt idx="81">
                  <c:v>0.98564263533525764</c:v>
                </c:pt>
                <c:pt idx="82">
                  <c:v>0.98593635218202669</c:v>
                </c:pt>
                <c:pt idx="83">
                  <c:v>0.98622302345338175</c:v>
                </c:pt>
                <c:pt idx="84">
                  <c:v>0.98650285656512715</c:v>
                </c:pt>
                <c:pt idx="85">
                  <c:v>0.9867760512374304</c:v>
                </c:pt>
                <c:pt idx="86">
                  <c:v>0.98704279985331278</c:v>
                </c:pt>
                <c:pt idx="87">
                  <c:v>0.98730328779669951</c:v>
                </c:pt>
                <c:pt idx="88">
                  <c:v>0.98755769377141434</c:v>
                </c:pt>
                <c:pt idx="89">
                  <c:v>0.9878061901023909</c:v>
                </c:pt>
                <c:pt idx="90">
                  <c:v>0.98804894302028035</c:v>
                </c:pt>
                <c:pt idx="91">
                  <c:v>0.98828611293053936</c:v>
                </c:pt>
                <c:pt idx="92">
                  <c:v>0.98851785466800424</c:v>
                </c:pt>
                <c:pt idx="93">
                  <c:v>0.98874431773788019</c:v>
                </c:pt>
                <c:pt idx="94">
                  <c:v>0.98896564654400576</c:v>
                </c:pt>
                <c:pt idx="95">
                  <c:v>0.98918198060518914</c:v>
                </c:pt>
                <c:pt idx="96">
                  <c:v>0.98939345476035789</c:v>
                </c:pt>
                <c:pt idx="97">
                  <c:v>0.9896001993632072</c:v>
                </c:pt>
                <c:pt idx="98">
                  <c:v>0.98980234046698368</c:v>
                </c:pt>
                <c:pt idx="99">
                  <c:v>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003-43D8-979F-1918D8D93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29976"/>
        <c:axId val="257920648"/>
      </c:scatterChart>
      <c:valAx>
        <c:axId val="25832997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7920648"/>
        <c:crosses val="autoZero"/>
        <c:crossBetween val="midCat"/>
      </c:valAx>
      <c:valAx>
        <c:axId val="257920648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258329976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Calc_Area!$P$423:$P$429</c:f>
              <c:strCache>
                <c:ptCount val="7"/>
                <c:pt idx="0">
                  <c:v>5.31989E-41</c:v>
                </c:pt>
                <c:pt idx="3">
                  <c:v>0.001760787</c:v>
                </c:pt>
                <c:pt idx="6">
                  <c:v>0.004108504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Calc_Area!$P$423:$P$429</c:f>
              <c:numCache>
                <c:formatCode>General</c:formatCode>
                <c:ptCount val="7"/>
                <c:pt idx="0">
                  <c:v>5.3198914834291436E-41</c:v>
                </c:pt>
                <c:pt idx="3">
                  <c:v>1.7607873691580537E-3</c:v>
                </c:pt>
                <c:pt idx="6">
                  <c:v>4.1085038613687926E-3</c:v>
                </c:pt>
              </c:numCache>
            </c:numRef>
          </c:cat>
          <c:val>
            <c:numRef>
              <c:f>Calc_Area!$N$423:$N$429</c:f>
              <c:numCache>
                <c:formatCode>General</c:formatCode>
                <c:ptCount val="7"/>
                <c:pt idx="0">
                  <c:v>90</c:v>
                </c:pt>
                <c:pt idx="1">
                  <c:v>6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09-483F-8AD9-F7F5CE1E9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7921432"/>
        <c:axId val="257921824"/>
      </c:barChart>
      <c:catAx>
        <c:axId val="25792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crossAx val="257921824"/>
        <c:crosses val="autoZero"/>
        <c:auto val="0"/>
        <c:lblAlgn val="ctr"/>
        <c:lblOffset val="100"/>
        <c:tickMarkSkip val="6"/>
        <c:noMultiLvlLbl val="0"/>
      </c:catAx>
      <c:valAx>
        <c:axId val="257921824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7921432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72"/>
          <c:h val="0.7793956160885378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Calc_Area!$E$827:$E$926</c:f>
              <c:numCache>
                <c:formatCode>0.000</c:formatCode>
                <c:ptCount val="100"/>
                <c:pt idx="0">
                  <c:v>-14.915831532388827</c:v>
                </c:pt>
                <c:pt idx="1">
                  <c:v>-14.542934244182879</c:v>
                </c:pt>
                <c:pt idx="2">
                  <c:v>-14.170036955976931</c:v>
                </c:pt>
                <c:pt idx="3">
                  <c:v>-13.797139667770983</c:v>
                </c:pt>
                <c:pt idx="4">
                  <c:v>-13.424242379565035</c:v>
                </c:pt>
                <c:pt idx="5">
                  <c:v>-13.051345091359087</c:v>
                </c:pt>
                <c:pt idx="6">
                  <c:v>-12.678447803153139</c:v>
                </c:pt>
                <c:pt idx="7">
                  <c:v>-12.305550514947191</c:v>
                </c:pt>
                <c:pt idx="8">
                  <c:v>-11.932653226741243</c:v>
                </c:pt>
                <c:pt idx="9">
                  <c:v>-11.559755938535295</c:v>
                </c:pt>
                <c:pt idx="10">
                  <c:v>-11.186858650329347</c:v>
                </c:pt>
                <c:pt idx="11">
                  <c:v>-10.813961362123399</c:v>
                </c:pt>
                <c:pt idx="12">
                  <c:v>-10.441064073917451</c:v>
                </c:pt>
                <c:pt idx="13">
                  <c:v>-10.068166785711503</c:v>
                </c:pt>
                <c:pt idx="14">
                  <c:v>-9.6952694975055547</c:v>
                </c:pt>
                <c:pt idx="15">
                  <c:v>-9.3223722092996066</c:v>
                </c:pt>
                <c:pt idx="16">
                  <c:v>-8.9494749210936586</c:v>
                </c:pt>
                <c:pt idx="17">
                  <c:v>-8.5765776328877106</c:v>
                </c:pt>
                <c:pt idx="18">
                  <c:v>-8.2036803446817625</c:v>
                </c:pt>
                <c:pt idx="19">
                  <c:v>-7.8307830564758145</c:v>
                </c:pt>
                <c:pt idx="20">
                  <c:v>-7.4578857682698665</c:v>
                </c:pt>
                <c:pt idx="21">
                  <c:v>-7.0849884800639185</c:v>
                </c:pt>
                <c:pt idx="22">
                  <c:v>-6.7120911918579704</c:v>
                </c:pt>
                <c:pt idx="23">
                  <c:v>-6.3391939036520224</c:v>
                </c:pt>
                <c:pt idx="24">
                  <c:v>-5.9662966154460744</c:v>
                </c:pt>
                <c:pt idx="25">
                  <c:v>-5.5933993272401263</c:v>
                </c:pt>
                <c:pt idx="26">
                  <c:v>-5.2205020390341783</c:v>
                </c:pt>
                <c:pt idx="27">
                  <c:v>-4.8476047508282303</c:v>
                </c:pt>
                <c:pt idx="28">
                  <c:v>-4.4747074626222823</c:v>
                </c:pt>
                <c:pt idx="29">
                  <c:v>-4.1018101744163342</c:v>
                </c:pt>
                <c:pt idx="30">
                  <c:v>-3.7289128862103866</c:v>
                </c:pt>
                <c:pt idx="31">
                  <c:v>-3.356015598004439</c:v>
                </c:pt>
                <c:pt idx="32">
                  <c:v>-2.9831183097984915</c:v>
                </c:pt>
                <c:pt idx="33">
                  <c:v>-2.6102210215925439</c:v>
                </c:pt>
                <c:pt idx="34">
                  <c:v>-2.2373237333865963</c:v>
                </c:pt>
                <c:pt idx="35">
                  <c:v>-1.8644264451806485</c:v>
                </c:pt>
                <c:pt idx="36">
                  <c:v>-1.4915291569747007</c:v>
                </c:pt>
                <c:pt idx="37">
                  <c:v>-1.1186318687687529</c:v>
                </c:pt>
                <c:pt idx="38">
                  <c:v>-0.74573458056280506</c:v>
                </c:pt>
                <c:pt idx="39">
                  <c:v>-0.37283729235685731</c:v>
                </c:pt>
                <c:pt idx="40">
                  <c:v>5.9995849090443976E-5</c:v>
                </c:pt>
                <c:pt idx="41">
                  <c:v>0.3729572840550382</c:v>
                </c:pt>
                <c:pt idx="42">
                  <c:v>0.74585457226098595</c:v>
                </c:pt>
                <c:pt idx="43">
                  <c:v>1.1187518604669338</c:v>
                </c:pt>
                <c:pt idx="44">
                  <c:v>1.4916491486728816</c:v>
                </c:pt>
                <c:pt idx="45">
                  <c:v>1.8645464368788294</c:v>
                </c:pt>
                <c:pt idx="46">
                  <c:v>2.237443725084777</c:v>
                </c:pt>
                <c:pt idx="47">
                  <c:v>2.6103410132907245</c:v>
                </c:pt>
                <c:pt idx="48">
                  <c:v>2.9832383014966721</c:v>
                </c:pt>
                <c:pt idx="49">
                  <c:v>3.3561355897026197</c:v>
                </c:pt>
                <c:pt idx="50">
                  <c:v>3.7290328779085673</c:v>
                </c:pt>
                <c:pt idx="51">
                  <c:v>4.1019301661145153</c:v>
                </c:pt>
                <c:pt idx="52">
                  <c:v>4.4748274543204634</c:v>
                </c:pt>
                <c:pt idx="53">
                  <c:v>4.8477247425264114</c:v>
                </c:pt>
                <c:pt idx="54">
                  <c:v>5.2206220307323594</c:v>
                </c:pt>
                <c:pt idx="55">
                  <c:v>5.5935193189383074</c:v>
                </c:pt>
                <c:pt idx="56">
                  <c:v>5.9664166071442555</c:v>
                </c:pt>
                <c:pt idx="57">
                  <c:v>6.3393138953502035</c:v>
                </c:pt>
                <c:pt idx="58">
                  <c:v>6.7122111835561515</c:v>
                </c:pt>
                <c:pt idx="59">
                  <c:v>7.0851084717620996</c:v>
                </c:pt>
                <c:pt idx="60">
                  <c:v>7.4580057599680476</c:v>
                </c:pt>
                <c:pt idx="61">
                  <c:v>7.8309030481739956</c:v>
                </c:pt>
                <c:pt idx="62">
                  <c:v>8.2038003363799437</c:v>
                </c:pt>
                <c:pt idx="63">
                  <c:v>8.5766976245858917</c:v>
                </c:pt>
                <c:pt idx="64">
                  <c:v>8.9495949127918397</c:v>
                </c:pt>
                <c:pt idx="65">
                  <c:v>9.3224922009977877</c:v>
                </c:pt>
                <c:pt idx="66">
                  <c:v>9.6953894892037358</c:v>
                </c:pt>
                <c:pt idx="67">
                  <c:v>10.068286777409684</c:v>
                </c:pt>
                <c:pt idx="68">
                  <c:v>10.441184065615632</c:v>
                </c:pt>
                <c:pt idx="69">
                  <c:v>10.81408135382158</c:v>
                </c:pt>
                <c:pt idx="70">
                  <c:v>11.186978642027528</c:v>
                </c:pt>
                <c:pt idx="71">
                  <c:v>11.559875930233476</c:v>
                </c:pt>
                <c:pt idx="72">
                  <c:v>11.932773218439424</c:v>
                </c:pt>
                <c:pt idx="73">
                  <c:v>12.305670506645372</c:v>
                </c:pt>
                <c:pt idx="74">
                  <c:v>12.67856779485132</c:v>
                </c:pt>
                <c:pt idx="75">
                  <c:v>13.051465083057268</c:v>
                </c:pt>
                <c:pt idx="76">
                  <c:v>13.424362371263216</c:v>
                </c:pt>
                <c:pt idx="77">
                  <c:v>13.797259659469164</c:v>
                </c:pt>
                <c:pt idx="78">
                  <c:v>14.170156947675112</c:v>
                </c:pt>
                <c:pt idx="79">
                  <c:v>14.54305423588106</c:v>
                </c:pt>
                <c:pt idx="80">
                  <c:v>14.915951524087008</c:v>
                </c:pt>
                <c:pt idx="81">
                  <c:v>15.288848812292956</c:v>
                </c:pt>
                <c:pt idx="82">
                  <c:v>15.661746100498904</c:v>
                </c:pt>
                <c:pt idx="83">
                  <c:v>16.034643388704851</c:v>
                </c:pt>
                <c:pt idx="84">
                  <c:v>16.407540676910799</c:v>
                </c:pt>
                <c:pt idx="85">
                  <c:v>16.780437965116747</c:v>
                </c:pt>
                <c:pt idx="86">
                  <c:v>17.153335253322695</c:v>
                </c:pt>
                <c:pt idx="87">
                  <c:v>17.526232541528643</c:v>
                </c:pt>
                <c:pt idx="88">
                  <c:v>17.899129829734591</c:v>
                </c:pt>
                <c:pt idx="89">
                  <c:v>18.272027117940539</c:v>
                </c:pt>
                <c:pt idx="90">
                  <c:v>18.644924406146487</c:v>
                </c:pt>
                <c:pt idx="91">
                  <c:v>19.017821694352435</c:v>
                </c:pt>
                <c:pt idx="92">
                  <c:v>19.390718982558383</c:v>
                </c:pt>
                <c:pt idx="93">
                  <c:v>19.763616270764331</c:v>
                </c:pt>
                <c:pt idx="94">
                  <c:v>20.136513558970279</c:v>
                </c:pt>
                <c:pt idx="95">
                  <c:v>20.509410847176227</c:v>
                </c:pt>
                <c:pt idx="96">
                  <c:v>20.882308135382175</c:v>
                </c:pt>
                <c:pt idx="97">
                  <c:v>21.255205423588123</c:v>
                </c:pt>
                <c:pt idx="98">
                  <c:v>21.628102711794071</c:v>
                </c:pt>
                <c:pt idx="99">
                  <c:v>22.001000000000019</c:v>
                </c:pt>
              </c:numCache>
            </c:numRef>
          </c:xVal>
          <c:yVal>
            <c:numRef>
              <c:f>Calc_Area!$G$827:$G$926</c:f>
              <c:numCache>
                <c:formatCode>General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8.8120345740022518E-2</c:v>
                </c:pt>
                <c:pt idx="41">
                  <c:v>0.11356906740876892</c:v>
                </c:pt>
                <c:pt idx="42">
                  <c:v>0.13767137144982763</c:v>
                </c:pt>
                <c:pt idx="43">
                  <c:v>0.1581571975025306</c:v>
                </c:pt>
                <c:pt idx="44">
                  <c:v>0.17333019980544928</c:v>
                </c:pt>
                <c:pt idx="45">
                  <c:v>0.18227710777634282</c:v>
                </c:pt>
                <c:pt idx="46">
                  <c:v>0.18487777754912518</c:v>
                </c:pt>
                <c:pt idx="47">
                  <c:v>0.18166672229804423</c:v>
                </c:pt>
                <c:pt idx="48">
                  <c:v>0.17361925600943726</c:v>
                </c:pt>
                <c:pt idx="49">
                  <c:v>0.16192829731260092</c:v>
                </c:pt>
                <c:pt idx="50">
                  <c:v>0.14781589581767776</c:v>
                </c:pt>
                <c:pt idx="51">
                  <c:v>0.13239956724348798</c:v>
                </c:pt>
                <c:pt idx="52">
                  <c:v>0.11661498912781103</c:v>
                </c:pt>
                <c:pt idx="53">
                  <c:v>0.10118574529062607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F5-46B6-BABC-656D01426894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Calc_Area!$E$827:$E$926</c:f>
              <c:numCache>
                <c:formatCode>0.000</c:formatCode>
                <c:ptCount val="100"/>
                <c:pt idx="0">
                  <c:v>-14.915831532388827</c:v>
                </c:pt>
                <c:pt idx="1">
                  <c:v>-14.542934244182879</c:v>
                </c:pt>
                <c:pt idx="2">
                  <c:v>-14.170036955976931</c:v>
                </c:pt>
                <c:pt idx="3">
                  <c:v>-13.797139667770983</c:v>
                </c:pt>
                <c:pt idx="4">
                  <c:v>-13.424242379565035</c:v>
                </c:pt>
                <c:pt idx="5">
                  <c:v>-13.051345091359087</c:v>
                </c:pt>
                <c:pt idx="6">
                  <c:v>-12.678447803153139</c:v>
                </c:pt>
                <c:pt idx="7">
                  <c:v>-12.305550514947191</c:v>
                </c:pt>
                <c:pt idx="8">
                  <c:v>-11.932653226741243</c:v>
                </c:pt>
                <c:pt idx="9">
                  <c:v>-11.559755938535295</c:v>
                </c:pt>
                <c:pt idx="10">
                  <c:v>-11.186858650329347</c:v>
                </c:pt>
                <c:pt idx="11">
                  <c:v>-10.813961362123399</c:v>
                </c:pt>
                <c:pt idx="12">
                  <c:v>-10.441064073917451</c:v>
                </c:pt>
                <c:pt idx="13">
                  <c:v>-10.068166785711503</c:v>
                </c:pt>
                <c:pt idx="14">
                  <c:v>-9.6952694975055547</c:v>
                </c:pt>
                <c:pt idx="15">
                  <c:v>-9.3223722092996066</c:v>
                </c:pt>
                <c:pt idx="16">
                  <c:v>-8.9494749210936586</c:v>
                </c:pt>
                <c:pt idx="17">
                  <c:v>-8.5765776328877106</c:v>
                </c:pt>
                <c:pt idx="18">
                  <c:v>-8.2036803446817625</c:v>
                </c:pt>
                <c:pt idx="19">
                  <c:v>-7.8307830564758145</c:v>
                </c:pt>
                <c:pt idx="20">
                  <c:v>-7.4578857682698665</c:v>
                </c:pt>
                <c:pt idx="21">
                  <c:v>-7.0849884800639185</c:v>
                </c:pt>
                <c:pt idx="22">
                  <c:v>-6.7120911918579704</c:v>
                </c:pt>
                <c:pt idx="23">
                  <c:v>-6.3391939036520224</c:v>
                </c:pt>
                <c:pt idx="24">
                  <c:v>-5.9662966154460744</c:v>
                </c:pt>
                <c:pt idx="25">
                  <c:v>-5.5933993272401263</c:v>
                </c:pt>
                <c:pt idx="26">
                  <c:v>-5.2205020390341783</c:v>
                </c:pt>
                <c:pt idx="27">
                  <c:v>-4.8476047508282303</c:v>
                </c:pt>
                <c:pt idx="28">
                  <c:v>-4.4747074626222823</c:v>
                </c:pt>
                <c:pt idx="29">
                  <c:v>-4.1018101744163342</c:v>
                </c:pt>
                <c:pt idx="30">
                  <c:v>-3.7289128862103866</c:v>
                </c:pt>
                <c:pt idx="31">
                  <c:v>-3.356015598004439</c:v>
                </c:pt>
                <c:pt idx="32">
                  <c:v>-2.9831183097984915</c:v>
                </c:pt>
                <c:pt idx="33">
                  <c:v>-2.6102210215925439</c:v>
                </c:pt>
                <c:pt idx="34">
                  <c:v>-2.2373237333865963</c:v>
                </c:pt>
                <c:pt idx="35">
                  <c:v>-1.8644264451806485</c:v>
                </c:pt>
                <c:pt idx="36">
                  <c:v>-1.4915291569747007</c:v>
                </c:pt>
                <c:pt idx="37">
                  <c:v>-1.1186318687687529</c:v>
                </c:pt>
                <c:pt idx="38">
                  <c:v>-0.74573458056280506</c:v>
                </c:pt>
                <c:pt idx="39">
                  <c:v>-0.37283729235685731</c:v>
                </c:pt>
                <c:pt idx="40">
                  <c:v>5.9995849090443976E-5</c:v>
                </c:pt>
                <c:pt idx="41">
                  <c:v>0.3729572840550382</c:v>
                </c:pt>
                <c:pt idx="42">
                  <c:v>0.74585457226098595</c:v>
                </c:pt>
                <c:pt idx="43">
                  <c:v>1.1187518604669338</c:v>
                </c:pt>
                <c:pt idx="44">
                  <c:v>1.4916491486728816</c:v>
                </c:pt>
                <c:pt idx="45">
                  <c:v>1.8645464368788294</c:v>
                </c:pt>
                <c:pt idx="46">
                  <c:v>2.237443725084777</c:v>
                </c:pt>
                <c:pt idx="47">
                  <c:v>2.6103410132907245</c:v>
                </c:pt>
                <c:pt idx="48">
                  <c:v>2.9832383014966721</c:v>
                </c:pt>
                <c:pt idx="49">
                  <c:v>3.3561355897026197</c:v>
                </c:pt>
                <c:pt idx="50">
                  <c:v>3.7290328779085673</c:v>
                </c:pt>
                <c:pt idx="51">
                  <c:v>4.1019301661145153</c:v>
                </c:pt>
                <c:pt idx="52">
                  <c:v>4.4748274543204634</c:v>
                </c:pt>
                <c:pt idx="53">
                  <c:v>4.8477247425264114</c:v>
                </c:pt>
                <c:pt idx="54">
                  <c:v>5.2206220307323594</c:v>
                </c:pt>
                <c:pt idx="55">
                  <c:v>5.5935193189383074</c:v>
                </c:pt>
                <c:pt idx="56">
                  <c:v>5.9664166071442555</c:v>
                </c:pt>
                <c:pt idx="57">
                  <c:v>6.3393138953502035</c:v>
                </c:pt>
                <c:pt idx="58">
                  <c:v>6.7122111835561515</c:v>
                </c:pt>
                <c:pt idx="59">
                  <c:v>7.0851084717620996</c:v>
                </c:pt>
                <c:pt idx="60">
                  <c:v>7.4580057599680476</c:v>
                </c:pt>
                <c:pt idx="61">
                  <c:v>7.8309030481739956</c:v>
                </c:pt>
                <c:pt idx="62">
                  <c:v>8.2038003363799437</c:v>
                </c:pt>
                <c:pt idx="63">
                  <c:v>8.5766976245858917</c:v>
                </c:pt>
                <c:pt idx="64">
                  <c:v>8.9495949127918397</c:v>
                </c:pt>
                <c:pt idx="65">
                  <c:v>9.3224922009977877</c:v>
                </c:pt>
                <c:pt idx="66">
                  <c:v>9.6953894892037358</c:v>
                </c:pt>
                <c:pt idx="67">
                  <c:v>10.068286777409684</c:v>
                </c:pt>
                <c:pt idx="68">
                  <c:v>10.441184065615632</c:v>
                </c:pt>
                <c:pt idx="69">
                  <c:v>10.81408135382158</c:v>
                </c:pt>
                <c:pt idx="70">
                  <c:v>11.186978642027528</c:v>
                </c:pt>
                <c:pt idx="71">
                  <c:v>11.559875930233476</c:v>
                </c:pt>
                <c:pt idx="72">
                  <c:v>11.932773218439424</c:v>
                </c:pt>
                <c:pt idx="73">
                  <c:v>12.305670506645372</c:v>
                </c:pt>
                <c:pt idx="74">
                  <c:v>12.67856779485132</c:v>
                </c:pt>
                <c:pt idx="75">
                  <c:v>13.051465083057268</c:v>
                </c:pt>
                <c:pt idx="76">
                  <c:v>13.424362371263216</c:v>
                </c:pt>
                <c:pt idx="77">
                  <c:v>13.797259659469164</c:v>
                </c:pt>
                <c:pt idx="78">
                  <c:v>14.170156947675112</c:v>
                </c:pt>
                <c:pt idx="79">
                  <c:v>14.54305423588106</c:v>
                </c:pt>
                <c:pt idx="80">
                  <c:v>14.915951524087008</c:v>
                </c:pt>
                <c:pt idx="81">
                  <c:v>15.288848812292956</c:v>
                </c:pt>
                <c:pt idx="82">
                  <c:v>15.661746100498904</c:v>
                </c:pt>
                <c:pt idx="83">
                  <c:v>16.034643388704851</c:v>
                </c:pt>
                <c:pt idx="84">
                  <c:v>16.407540676910799</c:v>
                </c:pt>
                <c:pt idx="85">
                  <c:v>16.780437965116747</c:v>
                </c:pt>
                <c:pt idx="86">
                  <c:v>17.153335253322695</c:v>
                </c:pt>
                <c:pt idx="87">
                  <c:v>17.526232541528643</c:v>
                </c:pt>
                <c:pt idx="88">
                  <c:v>17.899129829734591</c:v>
                </c:pt>
                <c:pt idx="89">
                  <c:v>18.272027117940539</c:v>
                </c:pt>
                <c:pt idx="90">
                  <c:v>18.644924406146487</c:v>
                </c:pt>
                <c:pt idx="91">
                  <c:v>19.017821694352435</c:v>
                </c:pt>
                <c:pt idx="92">
                  <c:v>19.390718982558383</c:v>
                </c:pt>
                <c:pt idx="93">
                  <c:v>19.763616270764331</c:v>
                </c:pt>
                <c:pt idx="94">
                  <c:v>20.136513558970279</c:v>
                </c:pt>
                <c:pt idx="95">
                  <c:v>20.509410847176227</c:v>
                </c:pt>
                <c:pt idx="96">
                  <c:v>20.882308135382175</c:v>
                </c:pt>
                <c:pt idx="97">
                  <c:v>21.255205423588123</c:v>
                </c:pt>
                <c:pt idx="98">
                  <c:v>21.628102711794071</c:v>
                </c:pt>
                <c:pt idx="99">
                  <c:v>22.001000000000019</c:v>
                </c:pt>
              </c:numCache>
            </c:numRef>
          </c:xVal>
          <c:yVal>
            <c:numRef>
              <c:f>Calc_Area!$F$827:$F$926</c:f>
              <c:numCache>
                <c:formatCode>General</c:formatCode>
                <c:ptCount val="100"/>
                <c:pt idx="0">
                  <c:v>5.5854885119868869E-198</c:v>
                </c:pt>
                <c:pt idx="1">
                  <c:v>8.9729997014613305E-179</c:v>
                </c:pt>
                <c:pt idx="2">
                  <c:v>2.9494532871780613E-161</c:v>
                </c:pt>
                <c:pt idx="3">
                  <c:v>2.6945014029432587E-145</c:v>
                </c:pt>
                <c:pt idx="4">
                  <c:v>9.0969125873543138E-131</c:v>
                </c:pt>
                <c:pt idx="5">
                  <c:v>1.479218048445442E-117</c:v>
                </c:pt>
                <c:pt idx="6">
                  <c:v>1.4817152184434535E-105</c:v>
                </c:pt>
                <c:pt idx="7">
                  <c:v>1.1489312251374274E-94</c:v>
                </c:pt>
                <c:pt idx="8">
                  <c:v>8.5237287555901953E-85</c:v>
                </c:pt>
                <c:pt idx="9">
                  <c:v>7.362747030445262E-76</c:v>
                </c:pt>
                <c:pt idx="10">
                  <c:v>8.8813659164607738E-68</c:v>
                </c:pt>
                <c:pt idx="11">
                  <c:v>1.77009146466544E-60</c:v>
                </c:pt>
                <c:pt idx="12">
                  <c:v>6.8093967453266219E-54</c:v>
                </c:pt>
                <c:pt idx="13">
                  <c:v>5.8368168707673589E-48</c:v>
                </c:pt>
                <c:pt idx="14">
                  <c:v>1.27272385503324E-42</c:v>
                </c:pt>
                <c:pt idx="15">
                  <c:v>7.9766556901448952E-38</c:v>
                </c:pt>
                <c:pt idx="16">
                  <c:v>1.6079788237126717E-33</c:v>
                </c:pt>
                <c:pt idx="17">
                  <c:v>1.1562470676895245E-29</c:v>
                </c:pt>
                <c:pt idx="18">
                  <c:v>3.2616271602075714E-26</c:v>
                </c:pt>
                <c:pt idx="19">
                  <c:v>3.9387030641485226E-23</c:v>
                </c:pt>
                <c:pt idx="20">
                  <c:v>2.2059138541828307E-20</c:v>
                </c:pt>
                <c:pt idx="21">
                  <c:v>6.1660359985633421E-18</c:v>
                </c:pt>
                <c:pt idx="22">
                  <c:v>9.1995818045411468E-16</c:v>
                </c:pt>
                <c:pt idx="23">
                  <c:v>7.7899071429798834E-14</c:v>
                </c:pt>
                <c:pt idx="24">
                  <c:v>3.9594793219218275E-12</c:v>
                </c:pt>
                <c:pt idx="25">
                  <c:v>1.2713978112578719E-10</c:v>
                </c:pt>
                <c:pt idx="26">
                  <c:v>2.7019577853532405E-9</c:v>
                </c:pt>
                <c:pt idx="27">
                  <c:v>3.964776768321751E-8</c:v>
                </c:pt>
                <c:pt idx="28">
                  <c:v>4.1745305563837553E-7</c:v>
                </c:pt>
                <c:pt idx="29">
                  <c:v>3.2658842187371745E-6</c:v>
                </c:pt>
                <c:pt idx="30">
                  <c:v>1.95942280772821E-5</c:v>
                </c:pt>
                <c:pt idx="31">
                  <c:v>9.2770606582157504E-5</c:v>
                </c:pt>
                <c:pt idx="32">
                  <c:v>3.5568608940047029E-4</c:v>
                </c:pt>
                <c:pt idx="33">
                  <c:v>1.1303587941066684E-3</c:v>
                </c:pt>
                <c:pt idx="34">
                  <c:v>3.0406761029655432E-3</c:v>
                </c:pt>
                <c:pt idx="35">
                  <c:v>7.055362227091945E-3</c:v>
                </c:pt>
                <c:pt idx="36">
                  <c:v>1.4361986130748438E-2</c:v>
                </c:pt>
                <c:pt idx="37">
                  <c:v>2.6039981301756467E-2</c:v>
                </c:pt>
                <c:pt idx="38">
                  <c:v>4.2627099496477902E-2</c:v>
                </c:pt>
                <c:pt idx="39">
                  <c:v>6.3768233564424431E-2</c:v>
                </c:pt>
                <c:pt idx="40">
                  <c:v>8.8120345740022518E-2</c:v>
                </c:pt>
                <c:pt idx="41">
                  <c:v>0.11356906740876892</c:v>
                </c:pt>
                <c:pt idx="42">
                  <c:v>0.13767137144982763</c:v>
                </c:pt>
                <c:pt idx="43">
                  <c:v>0.1581571975025306</c:v>
                </c:pt>
                <c:pt idx="44">
                  <c:v>0.17333019980544928</c:v>
                </c:pt>
                <c:pt idx="45">
                  <c:v>0.18227710777634282</c:v>
                </c:pt>
                <c:pt idx="46">
                  <c:v>0.18487777754912518</c:v>
                </c:pt>
                <c:pt idx="47">
                  <c:v>0.18166672229804423</c:v>
                </c:pt>
                <c:pt idx="48">
                  <c:v>0.17361925600943726</c:v>
                </c:pt>
                <c:pt idx="49">
                  <c:v>0.16192829731260092</c:v>
                </c:pt>
                <c:pt idx="50">
                  <c:v>0.14781589581767776</c:v>
                </c:pt>
                <c:pt idx="51">
                  <c:v>0.13239956724348798</c:v>
                </c:pt>
                <c:pt idx="52">
                  <c:v>0.11661498912781103</c:v>
                </c:pt>
                <c:pt idx="53">
                  <c:v>0.10118574529062607</c:v>
                </c:pt>
                <c:pt idx="54">
                  <c:v>8.6626621711109297E-2</c:v>
                </c:pt>
                <c:pt idx="55">
                  <c:v>7.3267217838903595E-2</c:v>
                </c:pt>
                <c:pt idx="56">
                  <c:v>6.1285156271579697E-2</c:v>
                </c:pt>
                <c:pt idx="57">
                  <c:v>5.0741357581699134E-2</c:v>
                </c:pt>
                <c:pt idx="58">
                  <c:v>4.161277556941792E-2</c:v>
                </c:pt>
                <c:pt idx="59">
                  <c:v>3.3820267129548325E-2</c:v>
                </c:pt>
                <c:pt idx="60">
                  <c:v>2.7250835510149809E-2</c:v>
                </c:pt>
                <c:pt idx="61">
                  <c:v>2.1774436220271243E-2</c:v>
                </c:pt>
                <c:pt idx="62">
                  <c:v>1.7256027197895488E-2</c:v>
                </c:pt>
                <c:pt idx="63">
                  <c:v>1.3563731066865797E-2</c:v>
                </c:pt>
                <c:pt idx="64">
                  <c:v>1.0573980014782805E-2</c:v>
                </c:pt>
                <c:pt idx="65">
                  <c:v>8.1744208289516677E-3</c:v>
                </c:pt>
                <c:pt idx="66">
                  <c:v>6.2652260326474842E-3</c:v>
                </c:pt>
                <c:pt idx="67">
                  <c:v>4.7593205438501247E-3</c:v>
                </c:pt>
                <c:pt idx="68">
                  <c:v>3.5819093488830213E-3</c:v>
                </c:pt>
                <c:pt idx="69">
                  <c:v>2.669587622413476E-3</c:v>
                </c:pt>
                <c:pt idx="70">
                  <c:v>1.9692318754306491E-3</c:v>
                </c:pt>
                <c:pt idx="71">
                  <c:v>1.436807350844699E-3</c:v>
                </c:pt>
                <c:pt idx="72">
                  <c:v>1.0361799991804429E-3</c:v>
                </c:pt>
                <c:pt idx="73">
                  <c:v>7.3798766456841609E-4</c:v>
                </c:pt>
                <c:pt idx="74">
                  <c:v>5.1860154558039221E-4</c:v>
                </c:pt>
                <c:pt idx="75">
                  <c:v>3.5919297865685633E-4</c:v>
                </c:pt>
                <c:pt idx="76">
                  <c:v>2.449100472943634E-4</c:v>
                </c:pt>
                <c:pt idx="77">
                  <c:v>1.6416184753305688E-4</c:v>
                </c:pt>
                <c:pt idx="78">
                  <c:v>1.0800424492655298E-4</c:v>
                </c:pt>
                <c:pt idx="79">
                  <c:v>6.9618771528657907E-5</c:v>
                </c:pt>
                <c:pt idx="80">
                  <c:v>4.3875316663783773E-5</c:v>
                </c:pt>
                <c:pt idx="81">
                  <c:v>2.6969033736073954E-5</c:v>
                </c:pt>
                <c:pt idx="82">
                  <c:v>1.6122125444661863E-5</c:v>
                </c:pt>
                <c:pt idx="83">
                  <c:v>9.3416872362366065E-6</c:v>
                </c:pt>
                <c:pt idx="84">
                  <c:v>5.2254570150315992E-6</c:v>
                </c:pt>
                <c:pt idx="85">
                  <c:v>2.8080573867589784E-6</c:v>
                </c:pt>
                <c:pt idx="86">
                  <c:v>1.4410749131640148E-6</c:v>
                </c:pt>
                <c:pt idx="87">
                  <c:v>7.0106867567802386E-7</c:v>
                </c:pt>
                <c:pt idx="88">
                  <c:v>3.2032008247815701E-7</c:v>
                </c:pt>
                <c:pt idx="89">
                  <c:v>1.3581718422571949E-7</c:v>
                </c:pt>
                <c:pt idx="90">
                  <c:v>5.2604248875374609E-8</c:v>
                </c:pt>
                <c:pt idx="91">
                  <c:v>1.8218075594968034E-8</c:v>
                </c:pt>
                <c:pt idx="92">
                  <c:v>5.4750455386904846E-9</c:v>
                </c:pt>
                <c:pt idx="93">
                  <c:v>1.3665230396075091E-9</c:v>
                </c:pt>
                <c:pt idx="94">
                  <c:v>2.6462823330799765E-10</c:v>
                </c:pt>
                <c:pt idx="95">
                  <c:v>3.5474938550219078E-11</c:v>
                </c:pt>
                <c:pt idx="96">
                  <c:v>2.6582685417502003E-12</c:v>
                </c:pt>
                <c:pt idx="97">
                  <c:v>6.8869763634818559E-14</c:v>
                </c:pt>
                <c:pt idx="98">
                  <c:v>1.328945428880017E-16</c:v>
                </c:pt>
                <c:pt idx="99">
                  <c:v>9.7656250017466603E-40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F5-46B6-BABC-656D01426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922608"/>
        <c:axId val="257923000"/>
      </c:scatterChart>
      <c:valAx>
        <c:axId val="25792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7923000"/>
        <c:crosses val="autoZero"/>
        <c:crossBetween val="midCat"/>
      </c:valAx>
      <c:valAx>
        <c:axId val="257923000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f(t)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257922608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600" b="1" i="0" baseline="0"/>
              <a:t>Posterior when using the CNI Prior</a:t>
            </a:r>
            <a:endParaRPr lang="en-US" sz="14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'Bayes-Binomial'!$E$25</c:f>
                <c:numCache>
                  <c:formatCode>General</c:formatCode>
                  <c:ptCount val="1"/>
                  <c:pt idx="0">
                    <c:v>9.4946562218475417E-2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'Bayes-Binomial'!$H$24</c:f>
              <c:numCache>
                <c:formatCode>0.00E+00</c:formatCode>
                <c:ptCount val="1"/>
                <c:pt idx="0">
                  <c:v>0.13883516371459537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F-48A4-AA63-1D3D862F526C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'Bayes-Binomial'!$H$23</c:f>
              <c:numCache>
                <c:formatCode>0.00E+00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F-48A4-AA63-1D3D862F526C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'Bayes-Binomial'!$I$21</c:f>
                <c:numCache>
                  <c:formatCode>General</c:formatCode>
                  <c:ptCount val="1"/>
                  <c:pt idx="0">
                    <c:v>3.0431986480546985E-2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'Bayes-Binomial'!$H$22</c:f>
              <c:numCache>
                <c:formatCode>0.00E+00</c:formatCode>
                <c:ptCount val="1"/>
                <c:pt idx="0">
                  <c:v>4.314862265388647E-2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F-48A4-AA63-1D3D862F5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125592"/>
        <c:axId val="206125984"/>
      </c:barChart>
      <c:catAx>
        <c:axId val="206125592"/>
        <c:scaling>
          <c:orientation val="minMax"/>
        </c:scaling>
        <c:delete val="1"/>
        <c:axPos val="l"/>
        <c:majorTickMark val="out"/>
        <c:minorTickMark val="none"/>
        <c:tickLblPos val="none"/>
        <c:crossAx val="206125984"/>
        <c:crosses val="autoZero"/>
        <c:auto val="1"/>
        <c:lblAlgn val="ctr"/>
        <c:lblOffset val="100"/>
        <c:noMultiLvlLbl val="0"/>
      </c:catAx>
      <c:valAx>
        <c:axId val="206125984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061255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94"/>
          <c:h val="0.77939561608853847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Calc_Area!$E$827:$E$926</c:f>
              <c:numCache>
                <c:formatCode>0.000</c:formatCode>
                <c:ptCount val="100"/>
                <c:pt idx="0">
                  <c:v>-14.915831532388827</c:v>
                </c:pt>
                <c:pt idx="1">
                  <c:v>-14.542934244182879</c:v>
                </c:pt>
                <c:pt idx="2">
                  <c:v>-14.170036955976931</c:v>
                </c:pt>
                <c:pt idx="3">
                  <c:v>-13.797139667770983</c:v>
                </c:pt>
                <c:pt idx="4">
                  <c:v>-13.424242379565035</c:v>
                </c:pt>
                <c:pt idx="5">
                  <c:v>-13.051345091359087</c:v>
                </c:pt>
                <c:pt idx="6">
                  <c:v>-12.678447803153139</c:v>
                </c:pt>
                <c:pt idx="7">
                  <c:v>-12.305550514947191</c:v>
                </c:pt>
                <c:pt idx="8">
                  <c:v>-11.932653226741243</c:v>
                </c:pt>
                <c:pt idx="9">
                  <c:v>-11.559755938535295</c:v>
                </c:pt>
                <c:pt idx="10">
                  <c:v>-11.186858650329347</c:v>
                </c:pt>
                <c:pt idx="11">
                  <c:v>-10.813961362123399</c:v>
                </c:pt>
                <c:pt idx="12">
                  <c:v>-10.441064073917451</c:v>
                </c:pt>
                <c:pt idx="13">
                  <c:v>-10.068166785711503</c:v>
                </c:pt>
                <c:pt idx="14">
                  <c:v>-9.6952694975055547</c:v>
                </c:pt>
                <c:pt idx="15">
                  <c:v>-9.3223722092996066</c:v>
                </c:pt>
                <c:pt idx="16">
                  <c:v>-8.9494749210936586</c:v>
                </c:pt>
                <c:pt idx="17">
                  <c:v>-8.5765776328877106</c:v>
                </c:pt>
                <c:pt idx="18">
                  <c:v>-8.2036803446817625</c:v>
                </c:pt>
                <c:pt idx="19">
                  <c:v>-7.8307830564758145</c:v>
                </c:pt>
                <c:pt idx="20">
                  <c:v>-7.4578857682698665</c:v>
                </c:pt>
                <c:pt idx="21">
                  <c:v>-7.0849884800639185</c:v>
                </c:pt>
                <c:pt idx="22">
                  <c:v>-6.7120911918579704</c:v>
                </c:pt>
                <c:pt idx="23">
                  <c:v>-6.3391939036520224</c:v>
                </c:pt>
                <c:pt idx="24">
                  <c:v>-5.9662966154460744</c:v>
                </c:pt>
                <c:pt idx="25">
                  <c:v>-5.5933993272401263</c:v>
                </c:pt>
                <c:pt idx="26">
                  <c:v>-5.2205020390341783</c:v>
                </c:pt>
                <c:pt idx="27">
                  <c:v>-4.8476047508282303</c:v>
                </c:pt>
                <c:pt idx="28">
                  <c:v>-4.4747074626222823</c:v>
                </c:pt>
                <c:pt idx="29">
                  <c:v>-4.1018101744163342</c:v>
                </c:pt>
                <c:pt idx="30">
                  <c:v>-3.7289128862103866</c:v>
                </c:pt>
                <c:pt idx="31">
                  <c:v>-3.356015598004439</c:v>
                </c:pt>
                <c:pt idx="32">
                  <c:v>-2.9831183097984915</c:v>
                </c:pt>
                <c:pt idx="33">
                  <c:v>-2.6102210215925439</c:v>
                </c:pt>
                <c:pt idx="34">
                  <c:v>-2.2373237333865963</c:v>
                </c:pt>
                <c:pt idx="35">
                  <c:v>-1.8644264451806485</c:v>
                </c:pt>
                <c:pt idx="36">
                  <c:v>-1.4915291569747007</c:v>
                </c:pt>
                <c:pt idx="37">
                  <c:v>-1.1186318687687529</c:v>
                </c:pt>
                <c:pt idx="38">
                  <c:v>-0.74573458056280506</c:v>
                </c:pt>
                <c:pt idx="39">
                  <c:v>-0.37283729235685731</c:v>
                </c:pt>
                <c:pt idx="40">
                  <c:v>5.9995849090443976E-5</c:v>
                </c:pt>
                <c:pt idx="41">
                  <c:v>0.3729572840550382</c:v>
                </c:pt>
                <c:pt idx="42">
                  <c:v>0.74585457226098595</c:v>
                </c:pt>
                <c:pt idx="43">
                  <c:v>1.1187518604669338</c:v>
                </c:pt>
                <c:pt idx="44">
                  <c:v>1.4916491486728816</c:v>
                </c:pt>
                <c:pt idx="45">
                  <c:v>1.8645464368788294</c:v>
                </c:pt>
                <c:pt idx="46">
                  <c:v>2.237443725084777</c:v>
                </c:pt>
                <c:pt idx="47">
                  <c:v>2.6103410132907245</c:v>
                </c:pt>
                <c:pt idx="48">
                  <c:v>2.9832383014966721</c:v>
                </c:pt>
                <c:pt idx="49">
                  <c:v>3.3561355897026197</c:v>
                </c:pt>
                <c:pt idx="50">
                  <c:v>3.7290328779085673</c:v>
                </c:pt>
                <c:pt idx="51">
                  <c:v>4.1019301661145153</c:v>
                </c:pt>
                <c:pt idx="52">
                  <c:v>4.4748274543204634</c:v>
                </c:pt>
                <c:pt idx="53">
                  <c:v>4.8477247425264114</c:v>
                </c:pt>
                <c:pt idx="54">
                  <c:v>5.2206220307323594</c:v>
                </c:pt>
                <c:pt idx="55">
                  <c:v>5.5935193189383074</c:v>
                </c:pt>
                <c:pt idx="56">
                  <c:v>5.9664166071442555</c:v>
                </c:pt>
                <c:pt idx="57">
                  <c:v>6.3393138953502035</c:v>
                </c:pt>
                <c:pt idx="58">
                  <c:v>6.7122111835561515</c:v>
                </c:pt>
                <c:pt idx="59">
                  <c:v>7.0851084717620996</c:v>
                </c:pt>
                <c:pt idx="60">
                  <c:v>7.4580057599680476</c:v>
                </c:pt>
                <c:pt idx="61">
                  <c:v>7.8309030481739956</c:v>
                </c:pt>
                <c:pt idx="62">
                  <c:v>8.2038003363799437</c:v>
                </c:pt>
                <c:pt idx="63">
                  <c:v>8.5766976245858917</c:v>
                </c:pt>
                <c:pt idx="64">
                  <c:v>8.9495949127918397</c:v>
                </c:pt>
                <c:pt idx="65">
                  <c:v>9.3224922009977877</c:v>
                </c:pt>
                <c:pt idx="66">
                  <c:v>9.6953894892037358</c:v>
                </c:pt>
                <c:pt idx="67">
                  <c:v>10.068286777409684</c:v>
                </c:pt>
                <c:pt idx="68">
                  <c:v>10.441184065615632</c:v>
                </c:pt>
                <c:pt idx="69">
                  <c:v>10.81408135382158</c:v>
                </c:pt>
                <c:pt idx="70">
                  <c:v>11.186978642027528</c:v>
                </c:pt>
                <c:pt idx="71">
                  <c:v>11.559875930233476</c:v>
                </c:pt>
                <c:pt idx="72">
                  <c:v>11.932773218439424</c:v>
                </c:pt>
                <c:pt idx="73">
                  <c:v>12.305670506645372</c:v>
                </c:pt>
                <c:pt idx="74">
                  <c:v>12.67856779485132</c:v>
                </c:pt>
                <c:pt idx="75">
                  <c:v>13.051465083057268</c:v>
                </c:pt>
                <c:pt idx="76">
                  <c:v>13.424362371263216</c:v>
                </c:pt>
                <c:pt idx="77">
                  <c:v>13.797259659469164</c:v>
                </c:pt>
                <c:pt idx="78">
                  <c:v>14.170156947675112</c:v>
                </c:pt>
                <c:pt idx="79">
                  <c:v>14.54305423588106</c:v>
                </c:pt>
                <c:pt idx="80">
                  <c:v>14.915951524087008</c:v>
                </c:pt>
                <c:pt idx="81">
                  <c:v>15.288848812292956</c:v>
                </c:pt>
                <c:pt idx="82">
                  <c:v>15.661746100498904</c:v>
                </c:pt>
                <c:pt idx="83">
                  <c:v>16.034643388704851</c:v>
                </c:pt>
                <c:pt idx="84">
                  <c:v>16.407540676910799</c:v>
                </c:pt>
                <c:pt idx="85">
                  <c:v>16.780437965116747</c:v>
                </c:pt>
                <c:pt idx="86">
                  <c:v>17.153335253322695</c:v>
                </c:pt>
                <c:pt idx="87">
                  <c:v>17.526232541528643</c:v>
                </c:pt>
                <c:pt idx="88">
                  <c:v>17.899129829734591</c:v>
                </c:pt>
                <c:pt idx="89">
                  <c:v>18.272027117940539</c:v>
                </c:pt>
                <c:pt idx="90">
                  <c:v>18.644924406146487</c:v>
                </c:pt>
                <c:pt idx="91">
                  <c:v>19.017821694352435</c:v>
                </c:pt>
                <c:pt idx="92">
                  <c:v>19.390718982558383</c:v>
                </c:pt>
                <c:pt idx="93">
                  <c:v>19.763616270764331</c:v>
                </c:pt>
                <c:pt idx="94">
                  <c:v>20.136513558970279</c:v>
                </c:pt>
                <c:pt idx="95">
                  <c:v>20.509410847176227</c:v>
                </c:pt>
                <c:pt idx="96">
                  <c:v>20.882308135382175</c:v>
                </c:pt>
                <c:pt idx="97">
                  <c:v>21.255205423588123</c:v>
                </c:pt>
                <c:pt idx="98">
                  <c:v>21.628102711794071</c:v>
                </c:pt>
                <c:pt idx="99">
                  <c:v>22.001000000000019</c:v>
                </c:pt>
              </c:numCache>
            </c:numRef>
          </c:xVal>
          <c:yVal>
            <c:numRef>
              <c:f>Calc_Area!$H$827:$H$926</c:f>
              <c:numCache>
                <c:formatCode>General</c:formatCode>
                <c:ptCount val="100"/>
                <c:pt idx="0">
                  <c:v>4.49207730009732E-200</c:v>
                </c:pt>
                <c:pt idx="1">
                  <c:v>7.90691121054956E-181</c:v>
                </c:pt>
                <c:pt idx="2">
                  <c:v>2.8503678213853955E-163</c:v>
                </c:pt>
                <c:pt idx="3">
                  <c:v>2.8585344790781185E-147</c:v>
                </c:pt>
                <c:pt idx="4">
                  <c:v>1.0604466917638489E-132</c:v>
                </c:pt>
                <c:pt idx="5">
                  <c:v>1.8966620571047448E-119</c:v>
                </c:pt>
                <c:pt idx="6">
                  <c:v>2.0918370217671913E-107</c:v>
                </c:pt>
                <c:pt idx="7">
                  <c:v>1.7877815546493106E-96</c:v>
                </c:pt>
                <c:pt idx="8">
                  <c:v>1.4634207470934868E-86</c:v>
                </c:pt>
                <c:pt idx="9">
                  <c:v>1.396274130826247E-77</c:v>
                </c:pt>
                <c:pt idx="10">
                  <c:v>1.8624490889980479E-69</c:v>
                </c:pt>
                <c:pt idx="11">
                  <c:v>4.1092986276625054E-62</c:v>
                </c:pt>
                <c:pt idx="12">
                  <c:v>1.7520753474281377E-55</c:v>
                </c:pt>
                <c:pt idx="13">
                  <c:v>1.6665134422513274E-49</c:v>
                </c:pt>
                <c:pt idx="14">
                  <c:v>4.0372356679158645E-44</c:v>
                </c:pt>
                <c:pt idx="15">
                  <c:v>2.8146797486087262E-39</c:v>
                </c:pt>
                <c:pt idx="16">
                  <c:v>6.3197618628865055E-35</c:v>
                </c:pt>
                <c:pt idx="17">
                  <c:v>5.0681648576755757E-31</c:v>
                </c:pt>
                <c:pt idx="18">
                  <c:v>1.5965976418234456E-27</c:v>
                </c:pt>
                <c:pt idx="19">
                  <c:v>2.1561119870877629E-24</c:v>
                </c:pt>
                <c:pt idx="20">
                  <c:v>1.3523040270632412E-21</c:v>
                </c:pt>
                <c:pt idx="21">
                  <c:v>4.2392199220270016E-19</c:v>
                </c:pt>
                <c:pt idx="22">
                  <c:v>7.1037001286107632E-17</c:v>
                </c:pt>
                <c:pt idx="23">
                  <c:v>6.7661995603139764E-15</c:v>
                </c:pt>
                <c:pt idx="24">
                  <c:v>3.8745690051652065E-13</c:v>
                </c:pt>
                <c:pt idx="25">
                  <c:v>1.4038947883728352E-11</c:v>
                </c:pt>
                <c:pt idx="26">
                  <c:v>3.372200114084779E-10</c:v>
                </c:pt>
                <c:pt idx="27">
                  <c:v>5.6023312879411261E-9</c:v>
                </c:pt>
                <c:pt idx="28">
                  <c:v>6.6900146851822201E-8</c:v>
                </c:pt>
                <c:pt idx="29">
                  <c:v>5.9465503219246572E-7</c:v>
                </c:pt>
                <c:pt idx="30">
                  <c:v>4.0610205474652911E-6</c:v>
                </c:pt>
                <c:pt idx="31">
                  <c:v>2.192710319625853E-5</c:v>
                </c:pt>
                <c:pt idx="32">
                  <c:v>9.6060985037591545E-5</c:v>
                </c:pt>
                <c:pt idx="33">
                  <c:v>3.4952371477248525E-4</c:v>
                </c:pt>
                <c:pt idx="34">
                  <c:v>1.0787185435761266E-3</c:v>
                </c:pt>
                <c:pt idx="35">
                  <c:v>2.8777977113524948E-3</c:v>
                </c:pt>
                <c:pt idx="36">
                  <c:v>6.7501414058250362E-3</c:v>
                </c:pt>
                <c:pt idx="37">
                  <c:v>1.4134532835213562E-2</c:v>
                </c:pt>
                <c:pt idx="38">
                  <c:v>2.6784653698074631E-2</c:v>
                </c:pt>
                <c:pt idx="39">
                  <c:v>4.649591144929912E-2</c:v>
                </c:pt>
                <c:pt idx="40">
                  <c:v>7.4745092022329651E-2</c:v>
                </c:pt>
                <c:pt idx="41">
                  <c:v>0.11235328474612676</c:v>
                </c:pt>
                <c:pt idx="42">
                  <c:v>0.15927615566469663</c:v>
                </c:pt>
                <c:pt idx="43">
                  <c:v>0.2145758437182709</c:v>
                </c:pt>
                <c:pt idx="44">
                  <c:v>0.27656520918158078</c:v>
                </c:pt>
                <c:pt idx="45">
                  <c:v>0.34306730777551164</c:v>
                </c:pt>
                <c:pt idx="46">
                  <c:v>0.41171490701691837</c:v>
                </c:pt>
                <c:pt idx="47">
                  <c:v>0.48022393026551308</c:v>
                </c:pt>
                <c:pt idx="48">
                  <c:v>0.54659891913483571</c:v>
                </c:pt>
                <c:pt idx="49">
                  <c:v>0.60925525470644548</c:v>
                </c:pt>
                <c:pt idx="50">
                  <c:v>0.66706364360617887</c:v>
                </c:pt>
                <c:pt idx="51">
                  <c:v>0.71933424805920299</c:v>
                </c:pt>
                <c:pt idx="52">
                  <c:v>0.76576164495868004</c:v>
                </c:pt>
                <c:pt idx="53">
                  <c:v>0.80635011713060112</c:v>
                </c:pt>
                <c:pt idx="54">
                  <c:v>0.84133435193404094</c:v>
                </c:pt>
                <c:pt idx="55">
                  <c:v>0.87110553632946286</c:v>
                </c:pt>
                <c:pt idx="56">
                  <c:v>0.89614833013698925</c:v>
                </c:pt>
                <c:pt idx="57">
                  <c:v>0.91699079365012415</c:v>
                </c:pt>
                <c:pt idx="58">
                  <c:v>0.93416709915641993</c:v>
                </c:pt>
                <c:pt idx="59">
                  <c:v>0.94819158626532996</c:v>
                </c:pt>
                <c:pt idx="60">
                  <c:v>0.959542166573358</c:v>
                </c:pt>
                <c:pt idx="61">
                  <c:v>0.96865099331169757</c:v>
                </c:pt>
                <c:pt idx="62">
                  <c:v>0.97590048574234212</c:v>
                </c:pt>
                <c:pt idx="63">
                  <c:v>0.98162309436847983</c:v>
                </c:pt>
                <c:pt idx="64">
                  <c:v>0.98610352128504242</c:v>
                </c:pt>
                <c:pt idx="65">
                  <c:v>0.98958241920669188</c:v>
                </c:pt>
                <c:pt idx="66">
                  <c:v>0.9922608586810141</c:v>
                </c:pt>
                <c:pt idx="67">
                  <c:v>0.99430506821844666</c:v>
                </c:pt>
                <c:pt idx="68">
                  <c:v>0.99585111837754847</c:v>
                </c:pt>
                <c:pt idx="69">
                  <c:v>0.99700934452885148</c:v>
                </c:pt>
                <c:pt idx="70">
                  <c:v>0.99786839187464393</c:v>
                </c:pt>
                <c:pt idx="71">
                  <c:v>0.99849882797631739</c:v>
                </c:pt>
                <c:pt idx="72">
                  <c:v>0.9989563092614151</c:v>
                </c:pt>
                <c:pt idx="73">
                  <c:v>0.99928431427761932</c:v>
                </c:pt>
                <c:pt idx="74">
                  <c:v>0.99951647216670991</c:v>
                </c:pt>
                <c:pt idx="75">
                  <c:v>0.99967852322966178</c:v>
                </c:pt>
                <c:pt idx="76">
                  <c:v>0.99978995195664166</c:v>
                </c:pt>
                <c:pt idx="77">
                  <c:v>0.99986533323111004</c:v>
                </c:pt>
                <c:pt idx="78">
                  <c:v>0.99991543079524803</c:v>
                </c:pt>
                <c:pt idx="79">
                  <c:v>0.99994808431201199</c:v>
                </c:pt>
                <c:pt idx="80">
                  <c:v>0.99996891802993637</c:v>
                </c:pt>
                <c:pt idx="81">
                  <c:v>0.9999819005099243</c:v>
                </c:pt>
                <c:pt idx="82">
                  <c:v>0.99998978133534244</c:v>
                </c:pt>
                <c:pt idx="83">
                  <c:v>0.99999442733490118</c:v>
                </c:pt>
                <c:pt idx="84">
                  <c:v>0.99999707768014989</c:v>
                </c:pt>
                <c:pt idx="85">
                  <c:v>0.99999853431595309</c:v>
                </c:pt>
                <c:pt idx="86">
                  <c:v>0.99999930155905814</c:v>
                </c:pt>
                <c:pt idx="87">
                  <c:v>0.99999968635812808</c:v>
                </c:pt>
                <c:pt idx="88">
                  <c:v>0.9999998686408843</c:v>
                </c:pt>
                <c:pt idx="89">
                  <c:v>0.99999994936772074</c:v>
                </c:pt>
                <c:pt idx="90">
                  <c:v>0.99999998235087673</c:v>
                </c:pt>
                <c:pt idx="91">
                  <c:v>0.99999999456704503</c:v>
                </c:pt>
                <c:pt idx="92">
                  <c:v>0.99999999857140676</c:v>
                </c:pt>
                <c:pt idx="93">
                  <c:v>0.99999999969439302</c:v>
                </c:pt>
                <c:pt idx="94">
                  <c:v>0.99999999995068689</c:v>
                </c:pt>
                <c:pt idx="95">
                  <c:v>0.99999999999471212</c:v>
                </c:pt>
                <c:pt idx="96">
                  <c:v>0.9999999999997029</c:v>
                </c:pt>
                <c:pt idx="97">
                  <c:v>0.99999999999999489</c:v>
                </c:pt>
                <c:pt idx="98">
                  <c:v>1</c:v>
                </c:pt>
                <c:pt idx="9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7A-440D-98DF-30DB05ADCA19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Calc_Area!$E$827:$E$926</c:f>
              <c:numCache>
                <c:formatCode>0.000</c:formatCode>
                <c:ptCount val="100"/>
                <c:pt idx="0">
                  <c:v>-14.915831532388827</c:v>
                </c:pt>
                <c:pt idx="1">
                  <c:v>-14.542934244182879</c:v>
                </c:pt>
                <c:pt idx="2">
                  <c:v>-14.170036955976931</c:v>
                </c:pt>
                <c:pt idx="3">
                  <c:v>-13.797139667770983</c:v>
                </c:pt>
                <c:pt idx="4">
                  <c:v>-13.424242379565035</c:v>
                </c:pt>
                <c:pt idx="5">
                  <c:v>-13.051345091359087</c:v>
                </c:pt>
                <c:pt idx="6">
                  <c:v>-12.678447803153139</c:v>
                </c:pt>
                <c:pt idx="7">
                  <c:v>-12.305550514947191</c:v>
                </c:pt>
                <c:pt idx="8">
                  <c:v>-11.932653226741243</c:v>
                </c:pt>
                <c:pt idx="9">
                  <c:v>-11.559755938535295</c:v>
                </c:pt>
                <c:pt idx="10">
                  <c:v>-11.186858650329347</c:v>
                </c:pt>
                <c:pt idx="11">
                  <c:v>-10.813961362123399</c:v>
                </c:pt>
                <c:pt idx="12">
                  <c:v>-10.441064073917451</c:v>
                </c:pt>
                <c:pt idx="13">
                  <c:v>-10.068166785711503</c:v>
                </c:pt>
                <c:pt idx="14">
                  <c:v>-9.6952694975055547</c:v>
                </c:pt>
                <c:pt idx="15">
                  <c:v>-9.3223722092996066</c:v>
                </c:pt>
                <c:pt idx="16">
                  <c:v>-8.9494749210936586</c:v>
                </c:pt>
                <c:pt idx="17">
                  <c:v>-8.5765776328877106</c:v>
                </c:pt>
                <c:pt idx="18">
                  <c:v>-8.2036803446817625</c:v>
                </c:pt>
                <c:pt idx="19">
                  <c:v>-7.8307830564758145</c:v>
                </c:pt>
                <c:pt idx="20">
                  <c:v>-7.4578857682698665</c:v>
                </c:pt>
                <c:pt idx="21">
                  <c:v>-7.0849884800639185</c:v>
                </c:pt>
                <c:pt idx="22">
                  <c:v>-6.7120911918579704</c:v>
                </c:pt>
                <c:pt idx="23">
                  <c:v>-6.3391939036520224</c:v>
                </c:pt>
                <c:pt idx="24">
                  <c:v>-5.9662966154460744</c:v>
                </c:pt>
                <c:pt idx="25">
                  <c:v>-5.5933993272401263</c:v>
                </c:pt>
                <c:pt idx="26">
                  <c:v>-5.2205020390341783</c:v>
                </c:pt>
                <c:pt idx="27">
                  <c:v>-4.8476047508282303</c:v>
                </c:pt>
                <c:pt idx="28">
                  <c:v>-4.4747074626222823</c:v>
                </c:pt>
                <c:pt idx="29">
                  <c:v>-4.1018101744163342</c:v>
                </c:pt>
                <c:pt idx="30">
                  <c:v>-3.7289128862103866</c:v>
                </c:pt>
                <c:pt idx="31">
                  <c:v>-3.356015598004439</c:v>
                </c:pt>
                <c:pt idx="32">
                  <c:v>-2.9831183097984915</c:v>
                </c:pt>
                <c:pt idx="33">
                  <c:v>-2.6102210215925439</c:v>
                </c:pt>
                <c:pt idx="34">
                  <c:v>-2.2373237333865963</c:v>
                </c:pt>
                <c:pt idx="35">
                  <c:v>-1.8644264451806485</c:v>
                </c:pt>
                <c:pt idx="36">
                  <c:v>-1.4915291569747007</c:v>
                </c:pt>
                <c:pt idx="37">
                  <c:v>-1.1186318687687529</c:v>
                </c:pt>
                <c:pt idx="38">
                  <c:v>-0.74573458056280506</c:v>
                </c:pt>
                <c:pt idx="39">
                  <c:v>-0.37283729235685731</c:v>
                </c:pt>
                <c:pt idx="40">
                  <c:v>5.9995849090443976E-5</c:v>
                </c:pt>
                <c:pt idx="41">
                  <c:v>0.3729572840550382</c:v>
                </c:pt>
                <c:pt idx="42">
                  <c:v>0.74585457226098595</c:v>
                </c:pt>
                <c:pt idx="43">
                  <c:v>1.1187518604669338</c:v>
                </c:pt>
                <c:pt idx="44">
                  <c:v>1.4916491486728816</c:v>
                </c:pt>
                <c:pt idx="45">
                  <c:v>1.8645464368788294</c:v>
                </c:pt>
                <c:pt idx="46">
                  <c:v>2.237443725084777</c:v>
                </c:pt>
                <c:pt idx="47">
                  <c:v>2.6103410132907245</c:v>
                </c:pt>
                <c:pt idx="48">
                  <c:v>2.9832383014966721</c:v>
                </c:pt>
                <c:pt idx="49">
                  <c:v>3.3561355897026197</c:v>
                </c:pt>
                <c:pt idx="50">
                  <c:v>3.7290328779085673</c:v>
                </c:pt>
                <c:pt idx="51">
                  <c:v>4.1019301661145153</c:v>
                </c:pt>
                <c:pt idx="52">
                  <c:v>4.4748274543204634</c:v>
                </c:pt>
                <c:pt idx="53">
                  <c:v>4.8477247425264114</c:v>
                </c:pt>
                <c:pt idx="54">
                  <c:v>5.2206220307323594</c:v>
                </c:pt>
                <c:pt idx="55">
                  <c:v>5.5935193189383074</c:v>
                </c:pt>
                <c:pt idx="56">
                  <c:v>5.9664166071442555</c:v>
                </c:pt>
                <c:pt idx="57">
                  <c:v>6.3393138953502035</c:v>
                </c:pt>
                <c:pt idx="58">
                  <c:v>6.7122111835561515</c:v>
                </c:pt>
                <c:pt idx="59">
                  <c:v>7.0851084717620996</c:v>
                </c:pt>
                <c:pt idx="60">
                  <c:v>7.4580057599680476</c:v>
                </c:pt>
                <c:pt idx="61">
                  <c:v>7.8309030481739956</c:v>
                </c:pt>
                <c:pt idx="62">
                  <c:v>8.2038003363799437</c:v>
                </c:pt>
                <c:pt idx="63">
                  <c:v>8.5766976245858917</c:v>
                </c:pt>
                <c:pt idx="64">
                  <c:v>8.9495949127918397</c:v>
                </c:pt>
                <c:pt idx="65">
                  <c:v>9.3224922009977877</c:v>
                </c:pt>
                <c:pt idx="66">
                  <c:v>9.6953894892037358</c:v>
                </c:pt>
                <c:pt idx="67">
                  <c:v>10.068286777409684</c:v>
                </c:pt>
                <c:pt idx="68">
                  <c:v>10.441184065615632</c:v>
                </c:pt>
                <c:pt idx="69">
                  <c:v>10.81408135382158</c:v>
                </c:pt>
                <c:pt idx="70">
                  <c:v>11.186978642027528</c:v>
                </c:pt>
                <c:pt idx="71">
                  <c:v>11.559875930233476</c:v>
                </c:pt>
                <c:pt idx="72">
                  <c:v>11.932773218439424</c:v>
                </c:pt>
                <c:pt idx="73">
                  <c:v>12.305670506645372</c:v>
                </c:pt>
                <c:pt idx="74">
                  <c:v>12.67856779485132</c:v>
                </c:pt>
                <c:pt idx="75">
                  <c:v>13.051465083057268</c:v>
                </c:pt>
                <c:pt idx="76">
                  <c:v>13.424362371263216</c:v>
                </c:pt>
                <c:pt idx="77">
                  <c:v>13.797259659469164</c:v>
                </c:pt>
                <c:pt idx="78">
                  <c:v>14.170156947675112</c:v>
                </c:pt>
                <c:pt idx="79">
                  <c:v>14.54305423588106</c:v>
                </c:pt>
                <c:pt idx="80">
                  <c:v>14.915951524087008</c:v>
                </c:pt>
                <c:pt idx="81">
                  <c:v>15.288848812292956</c:v>
                </c:pt>
                <c:pt idx="82">
                  <c:v>15.661746100498904</c:v>
                </c:pt>
                <c:pt idx="83">
                  <c:v>16.034643388704851</c:v>
                </c:pt>
                <c:pt idx="84">
                  <c:v>16.407540676910799</c:v>
                </c:pt>
                <c:pt idx="85">
                  <c:v>16.780437965116747</c:v>
                </c:pt>
                <c:pt idx="86">
                  <c:v>17.153335253322695</c:v>
                </c:pt>
                <c:pt idx="87">
                  <c:v>17.526232541528643</c:v>
                </c:pt>
                <c:pt idx="88">
                  <c:v>17.899129829734591</c:v>
                </c:pt>
                <c:pt idx="89">
                  <c:v>18.272027117940539</c:v>
                </c:pt>
                <c:pt idx="90">
                  <c:v>18.644924406146487</c:v>
                </c:pt>
                <c:pt idx="91">
                  <c:v>19.017821694352435</c:v>
                </c:pt>
                <c:pt idx="92">
                  <c:v>19.390718982558383</c:v>
                </c:pt>
                <c:pt idx="93">
                  <c:v>19.763616270764331</c:v>
                </c:pt>
                <c:pt idx="94">
                  <c:v>20.136513558970279</c:v>
                </c:pt>
                <c:pt idx="95">
                  <c:v>20.509410847176227</c:v>
                </c:pt>
                <c:pt idx="96">
                  <c:v>20.882308135382175</c:v>
                </c:pt>
                <c:pt idx="97">
                  <c:v>21.255205423588123</c:v>
                </c:pt>
                <c:pt idx="98">
                  <c:v>21.628102711794071</c:v>
                </c:pt>
                <c:pt idx="99">
                  <c:v>22.001000000000019</c:v>
                </c:pt>
              </c:numCache>
            </c:numRef>
          </c:xVal>
          <c:yVal>
            <c:numRef>
              <c:f>Calc_Area!$I$827:$I$926</c:f>
              <c:numCache>
                <c:formatCode>General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7.4745092022329651E-2</c:v>
                </c:pt>
                <c:pt idx="41">
                  <c:v>0.11235328474612676</c:v>
                </c:pt>
                <c:pt idx="42">
                  <c:v>0.15927615566469663</c:v>
                </c:pt>
                <c:pt idx="43">
                  <c:v>0.2145758437182709</c:v>
                </c:pt>
                <c:pt idx="44">
                  <c:v>0.27656520918158078</c:v>
                </c:pt>
                <c:pt idx="45">
                  <c:v>0.34306730777551164</c:v>
                </c:pt>
                <c:pt idx="46">
                  <c:v>0.41171490701691837</c:v>
                </c:pt>
                <c:pt idx="47">
                  <c:v>0.48022393026551308</c:v>
                </c:pt>
                <c:pt idx="48">
                  <c:v>0.54659891913483571</c:v>
                </c:pt>
                <c:pt idx="49">
                  <c:v>0.60925525470644548</c:v>
                </c:pt>
                <c:pt idx="50">
                  <c:v>0.66706364360617887</c:v>
                </c:pt>
                <c:pt idx="51">
                  <c:v>0.71933424805920299</c:v>
                </c:pt>
                <c:pt idx="52">
                  <c:v>0.76576164495868004</c:v>
                </c:pt>
                <c:pt idx="53">
                  <c:v>0.80635011713060112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7A-440D-98DF-30DB05ADC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923784"/>
        <c:axId val="257924176"/>
      </c:scatterChart>
      <c:valAx>
        <c:axId val="25792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7924176"/>
        <c:crosses val="autoZero"/>
        <c:crossBetween val="midCat"/>
      </c:valAx>
      <c:valAx>
        <c:axId val="257924176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F(t) = Pr(T ≤ t)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257923784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Calc_Area!$P$831:$P$838</c:f>
              <c:strCache>
                <c:ptCount val="8"/>
                <c:pt idx="0">
                  <c:v>-1.9595836</c:v>
                </c:pt>
                <c:pt idx="3">
                  <c:v>3.073649893</c:v>
                </c:pt>
                <c:pt idx="6">
                  <c:v>9.784627884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Calc_Area!$P$831:$P$838</c:f>
              <c:numCache>
                <c:formatCode>General</c:formatCode>
                <c:ptCount val="8"/>
                <c:pt idx="0">
                  <c:v>-1.9595836001896867</c:v>
                </c:pt>
                <c:pt idx="3">
                  <c:v>3.073649892881988</c:v>
                </c:pt>
                <c:pt idx="6">
                  <c:v>9.7846278836442195</c:v>
                </c:pt>
              </c:numCache>
            </c:numRef>
          </c:cat>
          <c:val>
            <c:numRef>
              <c:f>Calc_Area!$N$831:$N$838</c:f>
              <c:numCache>
                <c:formatCode>General</c:formatCode>
                <c:ptCount val="8"/>
                <c:pt idx="0">
                  <c:v>0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C-4F16-8DB1-908415C61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8355904"/>
        <c:axId val="258356296"/>
      </c:barChart>
      <c:catAx>
        <c:axId val="25835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crossAx val="258356296"/>
        <c:crosses val="autoZero"/>
        <c:auto val="0"/>
        <c:lblAlgn val="ctr"/>
        <c:lblOffset val="100"/>
        <c:tickMarkSkip val="6"/>
        <c:noMultiLvlLbl val="0"/>
      </c:catAx>
      <c:valAx>
        <c:axId val="258356296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8355904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38"/>
          <c:h val="0.77939561608853702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Calc_Area!$E$210:$E$309</c:f>
              <c:numCache>
                <c:formatCode>0.000</c:formatCode>
                <c:ptCount val="100"/>
                <c:pt idx="0">
                  <c:v>0.955886446226067</c:v>
                </c:pt>
                <c:pt idx="1">
                  <c:v>1.1584782167139958</c:v>
                </c:pt>
                <c:pt idx="2">
                  <c:v>1.3610699872019245</c:v>
                </c:pt>
                <c:pt idx="3">
                  <c:v>1.5636617576898533</c:v>
                </c:pt>
                <c:pt idx="4">
                  <c:v>1.766253528177782</c:v>
                </c:pt>
                <c:pt idx="5">
                  <c:v>1.9688452986657108</c:v>
                </c:pt>
                <c:pt idx="6">
                  <c:v>2.1714370691536393</c:v>
                </c:pt>
                <c:pt idx="7">
                  <c:v>2.3740288396415679</c:v>
                </c:pt>
                <c:pt idx="8">
                  <c:v>2.5766206101294964</c:v>
                </c:pt>
                <c:pt idx="9">
                  <c:v>2.7792123806174249</c:v>
                </c:pt>
                <c:pt idx="10">
                  <c:v>2.9818041511053535</c:v>
                </c:pt>
                <c:pt idx="11">
                  <c:v>3.184395921593282</c:v>
                </c:pt>
                <c:pt idx="12">
                  <c:v>3.3869876920812105</c:v>
                </c:pt>
                <c:pt idx="13">
                  <c:v>3.5895794625691391</c:v>
                </c:pt>
                <c:pt idx="14">
                  <c:v>3.7921712330570676</c:v>
                </c:pt>
                <c:pt idx="15">
                  <c:v>3.9947630035449961</c:v>
                </c:pt>
                <c:pt idx="16">
                  <c:v>4.1973547740329247</c:v>
                </c:pt>
                <c:pt idx="17">
                  <c:v>4.3999465445208532</c:v>
                </c:pt>
                <c:pt idx="18">
                  <c:v>4.6025383150087817</c:v>
                </c:pt>
                <c:pt idx="19">
                  <c:v>4.8051300854967103</c:v>
                </c:pt>
                <c:pt idx="20">
                  <c:v>5.0077218559846388</c:v>
                </c:pt>
                <c:pt idx="21">
                  <c:v>5.2103136264725673</c:v>
                </c:pt>
                <c:pt idx="22">
                  <c:v>5.4129053969604959</c:v>
                </c:pt>
                <c:pt idx="23">
                  <c:v>5.6154971674484244</c:v>
                </c:pt>
                <c:pt idx="24">
                  <c:v>5.818088937936353</c:v>
                </c:pt>
                <c:pt idx="25">
                  <c:v>6.0206807084242815</c:v>
                </c:pt>
                <c:pt idx="26">
                  <c:v>6.22327247891221</c:v>
                </c:pt>
                <c:pt idx="27">
                  <c:v>6.4258642494001386</c:v>
                </c:pt>
                <c:pt idx="28">
                  <c:v>6.6284560198880671</c:v>
                </c:pt>
                <c:pt idx="29">
                  <c:v>6.8310477903759956</c:v>
                </c:pt>
                <c:pt idx="30">
                  <c:v>7.0336395608639242</c:v>
                </c:pt>
                <c:pt idx="31">
                  <c:v>7.2362313313518527</c:v>
                </c:pt>
                <c:pt idx="32">
                  <c:v>7.4388231018397812</c:v>
                </c:pt>
                <c:pt idx="33">
                  <c:v>7.6414148723277098</c:v>
                </c:pt>
                <c:pt idx="34">
                  <c:v>7.8440066428156383</c:v>
                </c:pt>
                <c:pt idx="35">
                  <c:v>8.0465984133035668</c:v>
                </c:pt>
                <c:pt idx="36">
                  <c:v>8.2491901837914963</c:v>
                </c:pt>
                <c:pt idx="37">
                  <c:v>8.4517819542794257</c:v>
                </c:pt>
                <c:pt idx="38">
                  <c:v>8.6543737247673551</c:v>
                </c:pt>
                <c:pt idx="39">
                  <c:v>8.8569654952552845</c:v>
                </c:pt>
                <c:pt idx="40">
                  <c:v>9.059557265743214</c:v>
                </c:pt>
                <c:pt idx="41">
                  <c:v>9.2621490362311434</c:v>
                </c:pt>
                <c:pt idx="42">
                  <c:v>9.4647408067190728</c:v>
                </c:pt>
                <c:pt idx="43">
                  <c:v>9.6673325772070022</c:v>
                </c:pt>
                <c:pt idx="44">
                  <c:v>9.8699243476949317</c:v>
                </c:pt>
                <c:pt idx="45">
                  <c:v>10.072516118182861</c:v>
                </c:pt>
                <c:pt idx="46">
                  <c:v>10.275107888670791</c:v>
                </c:pt>
                <c:pt idx="47">
                  <c:v>10.47769965915872</c:v>
                </c:pt>
                <c:pt idx="48">
                  <c:v>10.680291429646649</c:v>
                </c:pt>
                <c:pt idx="49">
                  <c:v>10.882883200134579</c:v>
                </c:pt>
                <c:pt idx="50">
                  <c:v>11.085474970622508</c:v>
                </c:pt>
                <c:pt idx="51">
                  <c:v>11.288066741110438</c:v>
                </c:pt>
                <c:pt idx="52">
                  <c:v>11.490658511598367</c:v>
                </c:pt>
                <c:pt idx="53">
                  <c:v>11.693250282086296</c:v>
                </c:pt>
                <c:pt idx="54">
                  <c:v>11.895842052574226</c:v>
                </c:pt>
                <c:pt idx="55">
                  <c:v>12.098433823062155</c:v>
                </c:pt>
                <c:pt idx="56">
                  <c:v>12.301025593550085</c:v>
                </c:pt>
                <c:pt idx="57">
                  <c:v>12.503617364038014</c:v>
                </c:pt>
                <c:pt idx="58">
                  <c:v>12.706209134525944</c:v>
                </c:pt>
                <c:pt idx="59">
                  <c:v>12.908800905013873</c:v>
                </c:pt>
                <c:pt idx="60">
                  <c:v>13.111392675501802</c:v>
                </c:pt>
                <c:pt idx="61">
                  <c:v>13.313984445989732</c:v>
                </c:pt>
                <c:pt idx="62">
                  <c:v>13.516576216477661</c:v>
                </c:pt>
                <c:pt idx="63">
                  <c:v>13.719167986965591</c:v>
                </c:pt>
                <c:pt idx="64">
                  <c:v>13.92175975745352</c:v>
                </c:pt>
                <c:pt idx="65">
                  <c:v>14.12435152794145</c:v>
                </c:pt>
                <c:pt idx="66">
                  <c:v>14.326943298429379</c:v>
                </c:pt>
                <c:pt idx="67">
                  <c:v>14.529535068917308</c:v>
                </c:pt>
                <c:pt idx="68">
                  <c:v>14.732126839405238</c:v>
                </c:pt>
                <c:pt idx="69">
                  <c:v>14.934718609893167</c:v>
                </c:pt>
                <c:pt idx="70">
                  <c:v>15.137310380381097</c:v>
                </c:pt>
                <c:pt idx="71">
                  <c:v>15.339902150869026</c:v>
                </c:pt>
                <c:pt idx="72">
                  <c:v>15.542493921356956</c:v>
                </c:pt>
                <c:pt idx="73">
                  <c:v>15.745085691844885</c:v>
                </c:pt>
                <c:pt idx="74">
                  <c:v>15.947677462332814</c:v>
                </c:pt>
                <c:pt idx="75">
                  <c:v>16.150269232820744</c:v>
                </c:pt>
                <c:pt idx="76">
                  <c:v>16.352861003308671</c:v>
                </c:pt>
                <c:pt idx="77">
                  <c:v>16.555452773796599</c:v>
                </c:pt>
                <c:pt idx="78">
                  <c:v>16.758044544284527</c:v>
                </c:pt>
                <c:pt idx="79">
                  <c:v>16.960636314772454</c:v>
                </c:pt>
                <c:pt idx="80">
                  <c:v>17.163228085260382</c:v>
                </c:pt>
                <c:pt idx="81">
                  <c:v>17.36581985574831</c:v>
                </c:pt>
                <c:pt idx="82">
                  <c:v>17.568411626236237</c:v>
                </c:pt>
                <c:pt idx="83">
                  <c:v>17.771003396724165</c:v>
                </c:pt>
                <c:pt idx="84">
                  <c:v>17.973595167212093</c:v>
                </c:pt>
                <c:pt idx="85">
                  <c:v>18.17618693770002</c:v>
                </c:pt>
                <c:pt idx="86">
                  <c:v>18.378778708187948</c:v>
                </c:pt>
                <c:pt idx="87">
                  <c:v>18.581370478675876</c:v>
                </c:pt>
                <c:pt idx="88">
                  <c:v>18.783962249163803</c:v>
                </c:pt>
                <c:pt idx="89">
                  <c:v>18.986554019651731</c:v>
                </c:pt>
                <c:pt idx="90">
                  <c:v>19.189145790139658</c:v>
                </c:pt>
                <c:pt idx="91">
                  <c:v>19.391737560627586</c:v>
                </c:pt>
                <c:pt idx="92">
                  <c:v>19.594329331115514</c:v>
                </c:pt>
                <c:pt idx="93">
                  <c:v>19.796921101603441</c:v>
                </c:pt>
                <c:pt idx="94">
                  <c:v>19.999512872091369</c:v>
                </c:pt>
                <c:pt idx="95">
                  <c:v>20.202104642579297</c:v>
                </c:pt>
                <c:pt idx="96">
                  <c:v>20.404696413067224</c:v>
                </c:pt>
                <c:pt idx="97">
                  <c:v>20.607288183555152</c:v>
                </c:pt>
                <c:pt idx="98">
                  <c:v>20.80987995404308</c:v>
                </c:pt>
                <c:pt idx="99" formatCode="0.0000">
                  <c:v>21.012471724531007</c:v>
                </c:pt>
              </c:numCache>
            </c:numRef>
          </c:xVal>
          <c:yVal>
            <c:numRef>
              <c:f>Calc_Area!$G$210:$G$309</c:f>
              <c:numCache>
                <c:formatCode>General</c:formatCode>
                <c:ptCount val="100"/>
                <c:pt idx="0">
                  <c:v>6.7341801541279918E-3</c:v>
                </c:pt>
                <c:pt idx="1">
                  <c:v>2.0518489442337074E-2</c:v>
                </c:pt>
                <c:pt idx="2">
                  <c:v>4.6596647759876715E-2</c:v>
                </c:pt>
                <c:pt idx="3">
                  <c:v>8.687530060266703E-2</c:v>
                </c:pt>
                <c:pt idx="4">
                  <c:v>0.14088204185560768</c:v>
                </c:pt>
                <c:pt idx="5">
                  <c:v>0.2061858200324875</c:v>
                </c:pt>
                <c:pt idx="6">
                  <c:v>0.27917596468772438</c:v>
                </c:pt>
                <c:pt idx="7">
                  <c:v>0.35583538987981606</c:v>
                </c:pt>
                <c:pt idx="8">
                  <c:v>0.43233133165495552</c:v>
                </c:pt>
                <c:pt idx="9">
                  <c:v>0.50538285278996742</c:v>
                </c:pt>
                <c:pt idx="10">
                  <c:v>0.57243428354803894</c:v>
                </c:pt>
                <c:pt idx="11">
                  <c:v>0.63168764251984988</c:v>
                </c:pt>
                <c:pt idx="12">
                  <c:v>0.68204645551530252</c:v>
                </c:pt>
                <c:pt idx="13">
                  <c:v>0.72301289115661815</c:v>
                </c:pt>
                <c:pt idx="14">
                  <c:v>0.75456769586406369</c:v>
                </c:pt>
                <c:pt idx="15">
                  <c:v>0.77705154198549686</c:v>
                </c:pt>
                <c:pt idx="16">
                  <c:v>0.79105816939689655</c:v>
                </c:pt>
                <c:pt idx="17">
                  <c:v>0.79734403350798722</c:v>
                </c:pt>
                <c:pt idx="18">
                  <c:v>0.79675558211748498</c:v>
                </c:pt>
                <c:pt idx="19">
                  <c:v>0.79017320998229545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C7-480A-BD50-E8F88AB60341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Calc_Area!$E$210:$E$309</c:f>
              <c:numCache>
                <c:formatCode>0.000</c:formatCode>
                <c:ptCount val="100"/>
                <c:pt idx="0">
                  <c:v>0.955886446226067</c:v>
                </c:pt>
                <c:pt idx="1">
                  <c:v>1.1584782167139958</c:v>
                </c:pt>
                <c:pt idx="2">
                  <c:v>1.3610699872019245</c:v>
                </c:pt>
                <c:pt idx="3">
                  <c:v>1.5636617576898533</c:v>
                </c:pt>
                <c:pt idx="4">
                  <c:v>1.766253528177782</c:v>
                </c:pt>
                <c:pt idx="5">
                  <c:v>1.9688452986657108</c:v>
                </c:pt>
                <c:pt idx="6">
                  <c:v>2.1714370691536393</c:v>
                </c:pt>
                <c:pt idx="7">
                  <c:v>2.3740288396415679</c:v>
                </c:pt>
                <c:pt idx="8">
                  <c:v>2.5766206101294964</c:v>
                </c:pt>
                <c:pt idx="9">
                  <c:v>2.7792123806174249</c:v>
                </c:pt>
                <c:pt idx="10">
                  <c:v>2.9818041511053535</c:v>
                </c:pt>
                <c:pt idx="11">
                  <c:v>3.184395921593282</c:v>
                </c:pt>
                <c:pt idx="12">
                  <c:v>3.3869876920812105</c:v>
                </c:pt>
                <c:pt idx="13">
                  <c:v>3.5895794625691391</c:v>
                </c:pt>
                <c:pt idx="14">
                  <c:v>3.7921712330570676</c:v>
                </c:pt>
                <c:pt idx="15">
                  <c:v>3.9947630035449961</c:v>
                </c:pt>
                <c:pt idx="16">
                  <c:v>4.1973547740329247</c:v>
                </c:pt>
                <c:pt idx="17">
                  <c:v>4.3999465445208532</c:v>
                </c:pt>
                <c:pt idx="18">
                  <c:v>4.6025383150087817</c:v>
                </c:pt>
                <c:pt idx="19">
                  <c:v>4.8051300854967103</c:v>
                </c:pt>
                <c:pt idx="20">
                  <c:v>5.0077218559846388</c:v>
                </c:pt>
                <c:pt idx="21">
                  <c:v>5.2103136264725673</c:v>
                </c:pt>
                <c:pt idx="22">
                  <c:v>5.4129053969604959</c:v>
                </c:pt>
                <c:pt idx="23">
                  <c:v>5.6154971674484244</c:v>
                </c:pt>
                <c:pt idx="24">
                  <c:v>5.818088937936353</c:v>
                </c:pt>
                <c:pt idx="25">
                  <c:v>6.0206807084242815</c:v>
                </c:pt>
                <c:pt idx="26">
                  <c:v>6.22327247891221</c:v>
                </c:pt>
                <c:pt idx="27">
                  <c:v>6.4258642494001386</c:v>
                </c:pt>
                <c:pt idx="28">
                  <c:v>6.6284560198880671</c:v>
                </c:pt>
                <c:pt idx="29">
                  <c:v>6.8310477903759956</c:v>
                </c:pt>
                <c:pt idx="30">
                  <c:v>7.0336395608639242</c:v>
                </c:pt>
                <c:pt idx="31">
                  <c:v>7.2362313313518527</c:v>
                </c:pt>
                <c:pt idx="32">
                  <c:v>7.4388231018397812</c:v>
                </c:pt>
                <c:pt idx="33">
                  <c:v>7.6414148723277098</c:v>
                </c:pt>
                <c:pt idx="34">
                  <c:v>7.8440066428156383</c:v>
                </c:pt>
                <c:pt idx="35">
                  <c:v>8.0465984133035668</c:v>
                </c:pt>
                <c:pt idx="36">
                  <c:v>8.2491901837914963</c:v>
                </c:pt>
                <c:pt idx="37">
                  <c:v>8.4517819542794257</c:v>
                </c:pt>
                <c:pt idx="38">
                  <c:v>8.6543737247673551</c:v>
                </c:pt>
                <c:pt idx="39">
                  <c:v>8.8569654952552845</c:v>
                </c:pt>
                <c:pt idx="40">
                  <c:v>9.059557265743214</c:v>
                </c:pt>
                <c:pt idx="41">
                  <c:v>9.2621490362311434</c:v>
                </c:pt>
                <c:pt idx="42">
                  <c:v>9.4647408067190728</c:v>
                </c:pt>
                <c:pt idx="43">
                  <c:v>9.6673325772070022</c:v>
                </c:pt>
                <c:pt idx="44">
                  <c:v>9.8699243476949317</c:v>
                </c:pt>
                <c:pt idx="45">
                  <c:v>10.072516118182861</c:v>
                </c:pt>
                <c:pt idx="46">
                  <c:v>10.275107888670791</c:v>
                </c:pt>
                <c:pt idx="47">
                  <c:v>10.47769965915872</c:v>
                </c:pt>
                <c:pt idx="48">
                  <c:v>10.680291429646649</c:v>
                </c:pt>
                <c:pt idx="49">
                  <c:v>10.882883200134579</c:v>
                </c:pt>
                <c:pt idx="50">
                  <c:v>11.085474970622508</c:v>
                </c:pt>
                <c:pt idx="51">
                  <c:v>11.288066741110438</c:v>
                </c:pt>
                <c:pt idx="52">
                  <c:v>11.490658511598367</c:v>
                </c:pt>
                <c:pt idx="53">
                  <c:v>11.693250282086296</c:v>
                </c:pt>
                <c:pt idx="54">
                  <c:v>11.895842052574226</c:v>
                </c:pt>
                <c:pt idx="55">
                  <c:v>12.098433823062155</c:v>
                </c:pt>
                <c:pt idx="56">
                  <c:v>12.301025593550085</c:v>
                </c:pt>
                <c:pt idx="57">
                  <c:v>12.503617364038014</c:v>
                </c:pt>
                <c:pt idx="58">
                  <c:v>12.706209134525944</c:v>
                </c:pt>
                <c:pt idx="59">
                  <c:v>12.908800905013873</c:v>
                </c:pt>
                <c:pt idx="60">
                  <c:v>13.111392675501802</c:v>
                </c:pt>
                <c:pt idx="61">
                  <c:v>13.313984445989732</c:v>
                </c:pt>
                <c:pt idx="62">
                  <c:v>13.516576216477661</c:v>
                </c:pt>
                <c:pt idx="63">
                  <c:v>13.719167986965591</c:v>
                </c:pt>
                <c:pt idx="64">
                  <c:v>13.92175975745352</c:v>
                </c:pt>
                <c:pt idx="65">
                  <c:v>14.12435152794145</c:v>
                </c:pt>
                <c:pt idx="66">
                  <c:v>14.326943298429379</c:v>
                </c:pt>
                <c:pt idx="67">
                  <c:v>14.529535068917308</c:v>
                </c:pt>
                <c:pt idx="68">
                  <c:v>14.732126839405238</c:v>
                </c:pt>
                <c:pt idx="69">
                  <c:v>14.934718609893167</c:v>
                </c:pt>
                <c:pt idx="70">
                  <c:v>15.137310380381097</c:v>
                </c:pt>
                <c:pt idx="71">
                  <c:v>15.339902150869026</c:v>
                </c:pt>
                <c:pt idx="72">
                  <c:v>15.542493921356956</c:v>
                </c:pt>
                <c:pt idx="73">
                  <c:v>15.745085691844885</c:v>
                </c:pt>
                <c:pt idx="74">
                  <c:v>15.947677462332814</c:v>
                </c:pt>
                <c:pt idx="75">
                  <c:v>16.150269232820744</c:v>
                </c:pt>
                <c:pt idx="76">
                  <c:v>16.352861003308671</c:v>
                </c:pt>
                <c:pt idx="77">
                  <c:v>16.555452773796599</c:v>
                </c:pt>
                <c:pt idx="78">
                  <c:v>16.758044544284527</c:v>
                </c:pt>
                <c:pt idx="79">
                  <c:v>16.960636314772454</c:v>
                </c:pt>
                <c:pt idx="80">
                  <c:v>17.163228085260382</c:v>
                </c:pt>
                <c:pt idx="81">
                  <c:v>17.36581985574831</c:v>
                </c:pt>
                <c:pt idx="82">
                  <c:v>17.568411626236237</c:v>
                </c:pt>
                <c:pt idx="83">
                  <c:v>17.771003396724165</c:v>
                </c:pt>
                <c:pt idx="84">
                  <c:v>17.973595167212093</c:v>
                </c:pt>
                <c:pt idx="85">
                  <c:v>18.17618693770002</c:v>
                </c:pt>
                <c:pt idx="86">
                  <c:v>18.378778708187948</c:v>
                </c:pt>
                <c:pt idx="87">
                  <c:v>18.581370478675876</c:v>
                </c:pt>
                <c:pt idx="88">
                  <c:v>18.783962249163803</c:v>
                </c:pt>
                <c:pt idx="89">
                  <c:v>18.986554019651731</c:v>
                </c:pt>
                <c:pt idx="90">
                  <c:v>19.189145790139658</c:v>
                </c:pt>
                <c:pt idx="91">
                  <c:v>19.391737560627586</c:v>
                </c:pt>
                <c:pt idx="92">
                  <c:v>19.594329331115514</c:v>
                </c:pt>
                <c:pt idx="93">
                  <c:v>19.796921101603441</c:v>
                </c:pt>
                <c:pt idx="94">
                  <c:v>19.999512872091369</c:v>
                </c:pt>
                <c:pt idx="95">
                  <c:v>20.202104642579297</c:v>
                </c:pt>
                <c:pt idx="96">
                  <c:v>20.404696413067224</c:v>
                </c:pt>
                <c:pt idx="97">
                  <c:v>20.607288183555152</c:v>
                </c:pt>
                <c:pt idx="98">
                  <c:v>20.80987995404308</c:v>
                </c:pt>
                <c:pt idx="99" formatCode="0.0000">
                  <c:v>21.012471724531007</c:v>
                </c:pt>
              </c:numCache>
            </c:numRef>
          </c:xVal>
          <c:yVal>
            <c:numRef>
              <c:f>Calc_Area!$F$210:$F$309</c:f>
              <c:numCache>
                <c:formatCode>General</c:formatCode>
                <c:ptCount val="100"/>
                <c:pt idx="0">
                  <c:v>6.7341801541279918E-3</c:v>
                </c:pt>
                <c:pt idx="1">
                  <c:v>2.0518489442337074E-2</c:v>
                </c:pt>
                <c:pt idx="2">
                  <c:v>4.6596647759876715E-2</c:v>
                </c:pt>
                <c:pt idx="3">
                  <c:v>8.687530060266703E-2</c:v>
                </c:pt>
                <c:pt idx="4">
                  <c:v>0.14088204185560768</c:v>
                </c:pt>
                <c:pt idx="5">
                  <c:v>0.2061858200324875</c:v>
                </c:pt>
                <c:pt idx="6">
                  <c:v>0.27917596468772438</c:v>
                </c:pt>
                <c:pt idx="7">
                  <c:v>0.35583538987981606</c:v>
                </c:pt>
                <c:pt idx="8">
                  <c:v>0.43233133165495552</c:v>
                </c:pt>
                <c:pt idx="9">
                  <c:v>0.50538285278996742</c:v>
                </c:pt>
                <c:pt idx="10">
                  <c:v>0.57243428354803894</c:v>
                </c:pt>
                <c:pt idx="11">
                  <c:v>0.63168764251984988</c:v>
                </c:pt>
                <c:pt idx="12">
                  <c:v>0.68204645551530252</c:v>
                </c:pt>
                <c:pt idx="13">
                  <c:v>0.72301289115661815</c:v>
                </c:pt>
                <c:pt idx="14">
                  <c:v>0.75456769586406369</c:v>
                </c:pt>
                <c:pt idx="15">
                  <c:v>0.77705154198549686</c:v>
                </c:pt>
                <c:pt idx="16">
                  <c:v>0.79105816939689655</c:v>
                </c:pt>
                <c:pt idx="17">
                  <c:v>0.79734403350798722</c:v>
                </c:pt>
                <c:pt idx="18">
                  <c:v>0.79675558211748498</c:v>
                </c:pt>
                <c:pt idx="19">
                  <c:v>0.79017320998229545</c:v>
                </c:pt>
                <c:pt idx="20">
                  <c:v>0.77846989548880541</c:v>
                </c:pt>
                <c:pt idx="21">
                  <c:v>0.76248213326466829</c:v>
                </c:pt>
                <c:pt idx="22">
                  <c:v>0.74299077280305637</c:v>
                </c:pt>
                <c:pt idx="23">
                  <c:v>0.72070957674969915</c:v>
                </c:pt>
                <c:pt idx="24">
                  <c:v>0.69627960909024345</c:v>
                </c:pt>
                <c:pt idx="25">
                  <c:v>0.67026788425573247</c:v>
                </c:pt>
                <c:pt idx="26">
                  <c:v>0.64316901468524035</c:v>
                </c:pt>
                <c:pt idx="27">
                  <c:v>0.61540886759220381</c:v>
                </c:pt>
                <c:pt idx="28">
                  <c:v>0.58734947435116713</c:v>
                </c:pt>
                <c:pt idx="29">
                  <c:v>0.55929462763981563</c:v>
                </c:pt>
                <c:pt idx="30">
                  <c:v>0.53149575541538752</c:v>
                </c:pt>
                <c:pt idx="31">
                  <c:v>0.50415778176331449</c:v>
                </c:pt>
                <c:pt idx="32">
                  <c:v>0.47744477786194456</c:v>
                </c:pt>
                <c:pt idx="33">
                  <c:v>0.45148527679480788</c:v>
                </c:pt>
                <c:pt idx="34">
                  <c:v>0.42637717823034943</c:v>
                </c:pt>
                <c:pt idx="35">
                  <c:v>0.40219220696040375</c:v>
                </c:pt>
                <c:pt idx="36">
                  <c:v>0.37897991617651966</c:v>
                </c:pt>
                <c:pt idx="37">
                  <c:v>0.35677124479951838</c:v>
                </c:pt>
                <c:pt idx="38">
                  <c:v>0.33558165026568548</c:v>
                </c:pt>
                <c:pt idx="39">
                  <c:v>0.31541384556801422</c:v>
                </c:pt>
                <c:pt idx="40">
                  <c:v>0.29626017333803562</c:v>
                </c:pt>
                <c:pt idx="41">
                  <c:v>0.27810465131845774</c:v>
                </c:pt>
                <c:pt idx="42">
                  <c:v>0.26092472346544698</c:v>
                </c:pt>
                <c:pt idx="43">
                  <c:v>0.24469274969039193</c:v>
                </c:pt>
                <c:pt idx="44">
                  <c:v>0.22937726531649202</c:v>
                </c:pt>
                <c:pt idx="45">
                  <c:v>0.21494403898512152</c:v>
                </c:pt>
                <c:pt idx="46">
                  <c:v>0.20135695521440866</c:v>
                </c:pt>
                <c:pt idx="47">
                  <c:v>0.18857874523696805</c:v>
                </c:pt>
                <c:pt idx="48">
                  <c:v>0.17657158722602839</c:v>
                </c:pt>
                <c:pt idx="49">
                  <c:v>0.16529759462449217</c:v>
                </c:pt>
                <c:pt idx="50">
                  <c:v>0.15471920905899741</c:v>
                </c:pt>
                <c:pt idx="51">
                  <c:v>0.14479951227148061</c:v>
                </c:pt>
                <c:pt idx="52">
                  <c:v>0.1355024696416755</c:v>
                </c:pt>
                <c:pt idx="53">
                  <c:v>0.12679311620409214</c:v>
                </c:pt>
                <c:pt idx="54">
                  <c:v>0.11863769457511489</c:v>
                </c:pt>
                <c:pt idx="55">
                  <c:v>0.11100375288903672</c:v>
                </c:pt>
                <c:pt idx="56">
                  <c:v>0.10386020968320922</c:v>
                </c:pt>
                <c:pt idx="57">
                  <c:v>9.7177391658110956E-2</c:v>
                </c:pt>
                <c:pt idx="58">
                  <c:v>9.092704935401795E-2</c:v>
                </c:pt>
                <c:pt idx="59">
                  <c:v>8.5082355018408648E-2</c:v>
                </c:pt>
                <c:pt idx="60">
                  <c:v>7.9617886274275435E-2</c:v>
                </c:pt>
                <c:pt idx="61">
                  <c:v>7.4509598627067547E-2</c:v>
                </c:pt>
                <c:pt idx="62">
                  <c:v>6.9734789355966859E-2</c:v>
                </c:pt>
                <c:pt idx="63">
                  <c:v>6.527205491354468E-2</c:v>
                </c:pt>
                <c:pt idx="64">
                  <c:v>6.1101243597520283E-2</c:v>
                </c:pt>
                <c:pt idx="65">
                  <c:v>5.720340495128675E-2</c:v>
                </c:pt>
                <c:pt idx="66">
                  <c:v>5.3560737088929652E-2</c:v>
                </c:pt>
                <c:pt idx="67">
                  <c:v>5.0156532919346915E-2</c:v>
                </c:pt>
                <c:pt idx="68">
                  <c:v>4.6975126057240864E-2</c:v>
                </c:pt>
                <c:pt idx="69">
                  <c:v>4.4001837051377141E-2</c:v>
                </c:pt>
                <c:pt idx="70">
                  <c:v>4.1222920428358123E-2</c:v>
                </c:pt>
                <c:pt idx="71">
                  <c:v>3.8625512939597054E-2</c:v>
                </c:pt>
                <c:pt idx="72">
                  <c:v>3.6197583307024141E-2</c:v>
                </c:pt>
                <c:pt idx="73">
                  <c:v>3.3927883686573533E-2</c:v>
                </c:pt>
                <c:pt idx="74">
                  <c:v>3.1805903005328109E-2</c:v>
                </c:pt>
                <c:pt idx="75">
                  <c:v>2.982182227630796E-2</c:v>
                </c:pt>
                <c:pt idx="76">
                  <c:v>2.7966471952530943E-2</c:v>
                </c:pt>
                <c:pt idx="77">
                  <c:v>2.623129134766428E-2</c:v>
                </c:pt>
                <c:pt idx="78">
                  <c:v>2.4608290123034407E-2</c:v>
                </c:pt>
                <c:pt idx="79">
                  <c:v>2.3090011818891896E-2</c:v>
                </c:pt>
                <c:pt idx="80">
                  <c:v>2.1669499390694989E-2</c:v>
                </c:pt>
                <c:pt idx="81">
                  <c:v>2.0340262697999593E-2</c:v>
                </c:pt>
                <c:pt idx="82">
                  <c:v>1.9096247883646538E-2</c:v>
                </c:pt>
                <c:pt idx="83">
                  <c:v>1.7931808573751339E-2</c:v>
                </c:pt>
                <c:pt idx="84">
                  <c:v>1.6841678824044973E-2</c:v>
                </c:pt>
                <c:pt idx="85">
                  <c:v>1.5820947734981869E-2</c:v>
                </c:pt>
                <c:pt idx="86">
                  <c:v>1.4865035656375021E-2</c:v>
                </c:pt>
                <c:pt idx="87">
                  <c:v>1.3969671901857557E-2</c:v>
                </c:pt>
                <c:pt idx="88">
                  <c:v>1.3130873893955149E-2</c:v>
                </c:pt>
                <c:pt idx="89">
                  <c:v>1.2344927661789934E-2</c:v>
                </c:pt>
                <c:pt idx="90">
                  <c:v>1.1608369615250302E-2</c:v>
                </c:pt>
                <c:pt idx="91">
                  <c:v>1.0917969521715819E-2</c:v>
                </c:pt>
                <c:pt idx="92">
                  <c:v>1.0270714614005541E-2</c:v>
                </c:pt>
                <c:pt idx="93">
                  <c:v>9.6637947610244725E-3</c:v>
                </c:pt>
                <c:pt idx="94">
                  <c:v>9.0945886355443869E-3</c:v>
                </c:pt>
                <c:pt idx="95">
                  <c:v>8.5606508166001932E-3</c:v>
                </c:pt>
                <c:pt idx="96">
                  <c:v>8.0596997670680567E-3</c:v>
                </c:pt>
                <c:pt idx="97">
                  <c:v>7.5896066300712179E-3</c:v>
                </c:pt>
                <c:pt idx="98">
                  <c:v>7.1483847909016556E-3</c:v>
                </c:pt>
                <c:pt idx="99">
                  <c:v>6.7341801541280092E-3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C7-480A-BD50-E8F88AB60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57080"/>
        <c:axId val="258357472"/>
      </c:scatterChart>
      <c:valAx>
        <c:axId val="258357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none"/>
        <c:tickLblPos val="nextTo"/>
        <c:spPr>
          <a:noFill/>
        </c:spPr>
        <c:crossAx val="258357472"/>
        <c:crosses val="autoZero"/>
        <c:crossBetween val="midCat"/>
      </c:valAx>
      <c:valAx>
        <c:axId val="25835747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258357080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72"/>
          <c:h val="0.7793956160885378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Calc_Area!$E$210:$E$309</c:f>
              <c:numCache>
                <c:formatCode>0.000</c:formatCode>
                <c:ptCount val="100"/>
                <c:pt idx="0">
                  <c:v>0.955886446226067</c:v>
                </c:pt>
                <c:pt idx="1">
                  <c:v>1.1584782167139958</c:v>
                </c:pt>
                <c:pt idx="2">
                  <c:v>1.3610699872019245</c:v>
                </c:pt>
                <c:pt idx="3">
                  <c:v>1.5636617576898533</c:v>
                </c:pt>
                <c:pt idx="4">
                  <c:v>1.766253528177782</c:v>
                </c:pt>
                <c:pt idx="5">
                  <c:v>1.9688452986657108</c:v>
                </c:pt>
                <c:pt idx="6">
                  <c:v>2.1714370691536393</c:v>
                </c:pt>
                <c:pt idx="7">
                  <c:v>2.3740288396415679</c:v>
                </c:pt>
                <c:pt idx="8">
                  <c:v>2.5766206101294964</c:v>
                </c:pt>
                <c:pt idx="9">
                  <c:v>2.7792123806174249</c:v>
                </c:pt>
                <c:pt idx="10">
                  <c:v>2.9818041511053535</c:v>
                </c:pt>
                <c:pt idx="11">
                  <c:v>3.184395921593282</c:v>
                </c:pt>
                <c:pt idx="12">
                  <c:v>3.3869876920812105</c:v>
                </c:pt>
                <c:pt idx="13">
                  <c:v>3.5895794625691391</c:v>
                </c:pt>
                <c:pt idx="14">
                  <c:v>3.7921712330570676</c:v>
                </c:pt>
                <c:pt idx="15">
                  <c:v>3.9947630035449961</c:v>
                </c:pt>
                <c:pt idx="16">
                  <c:v>4.1973547740329247</c:v>
                </c:pt>
                <c:pt idx="17">
                  <c:v>4.3999465445208532</c:v>
                </c:pt>
                <c:pt idx="18">
                  <c:v>4.6025383150087817</c:v>
                </c:pt>
                <c:pt idx="19">
                  <c:v>4.8051300854967103</c:v>
                </c:pt>
                <c:pt idx="20">
                  <c:v>5.0077218559846388</c:v>
                </c:pt>
                <c:pt idx="21">
                  <c:v>5.2103136264725673</c:v>
                </c:pt>
                <c:pt idx="22">
                  <c:v>5.4129053969604959</c:v>
                </c:pt>
                <c:pt idx="23">
                  <c:v>5.6154971674484244</c:v>
                </c:pt>
                <c:pt idx="24">
                  <c:v>5.818088937936353</c:v>
                </c:pt>
                <c:pt idx="25">
                  <c:v>6.0206807084242815</c:v>
                </c:pt>
                <c:pt idx="26">
                  <c:v>6.22327247891221</c:v>
                </c:pt>
                <c:pt idx="27">
                  <c:v>6.4258642494001386</c:v>
                </c:pt>
                <c:pt idx="28">
                  <c:v>6.6284560198880671</c:v>
                </c:pt>
                <c:pt idx="29">
                  <c:v>6.8310477903759956</c:v>
                </c:pt>
                <c:pt idx="30">
                  <c:v>7.0336395608639242</c:v>
                </c:pt>
                <c:pt idx="31">
                  <c:v>7.2362313313518527</c:v>
                </c:pt>
                <c:pt idx="32">
                  <c:v>7.4388231018397812</c:v>
                </c:pt>
                <c:pt idx="33">
                  <c:v>7.6414148723277098</c:v>
                </c:pt>
                <c:pt idx="34">
                  <c:v>7.8440066428156383</c:v>
                </c:pt>
                <c:pt idx="35">
                  <c:v>8.0465984133035668</c:v>
                </c:pt>
                <c:pt idx="36">
                  <c:v>8.2491901837914963</c:v>
                </c:pt>
                <c:pt idx="37">
                  <c:v>8.4517819542794257</c:v>
                </c:pt>
                <c:pt idx="38">
                  <c:v>8.6543737247673551</c:v>
                </c:pt>
                <c:pt idx="39">
                  <c:v>8.8569654952552845</c:v>
                </c:pt>
                <c:pt idx="40">
                  <c:v>9.059557265743214</c:v>
                </c:pt>
                <c:pt idx="41">
                  <c:v>9.2621490362311434</c:v>
                </c:pt>
                <c:pt idx="42">
                  <c:v>9.4647408067190728</c:v>
                </c:pt>
                <c:pt idx="43">
                  <c:v>9.6673325772070022</c:v>
                </c:pt>
                <c:pt idx="44">
                  <c:v>9.8699243476949317</c:v>
                </c:pt>
                <c:pt idx="45">
                  <c:v>10.072516118182861</c:v>
                </c:pt>
                <c:pt idx="46">
                  <c:v>10.275107888670791</c:v>
                </c:pt>
                <c:pt idx="47">
                  <c:v>10.47769965915872</c:v>
                </c:pt>
                <c:pt idx="48">
                  <c:v>10.680291429646649</c:v>
                </c:pt>
                <c:pt idx="49">
                  <c:v>10.882883200134579</c:v>
                </c:pt>
                <c:pt idx="50">
                  <c:v>11.085474970622508</c:v>
                </c:pt>
                <c:pt idx="51">
                  <c:v>11.288066741110438</c:v>
                </c:pt>
                <c:pt idx="52">
                  <c:v>11.490658511598367</c:v>
                </c:pt>
                <c:pt idx="53">
                  <c:v>11.693250282086296</c:v>
                </c:pt>
                <c:pt idx="54">
                  <c:v>11.895842052574226</c:v>
                </c:pt>
                <c:pt idx="55">
                  <c:v>12.098433823062155</c:v>
                </c:pt>
                <c:pt idx="56">
                  <c:v>12.301025593550085</c:v>
                </c:pt>
                <c:pt idx="57">
                  <c:v>12.503617364038014</c:v>
                </c:pt>
                <c:pt idx="58">
                  <c:v>12.706209134525944</c:v>
                </c:pt>
                <c:pt idx="59">
                  <c:v>12.908800905013873</c:v>
                </c:pt>
                <c:pt idx="60">
                  <c:v>13.111392675501802</c:v>
                </c:pt>
                <c:pt idx="61">
                  <c:v>13.313984445989732</c:v>
                </c:pt>
                <c:pt idx="62">
                  <c:v>13.516576216477661</c:v>
                </c:pt>
                <c:pt idx="63">
                  <c:v>13.719167986965591</c:v>
                </c:pt>
                <c:pt idx="64">
                  <c:v>13.92175975745352</c:v>
                </c:pt>
                <c:pt idx="65">
                  <c:v>14.12435152794145</c:v>
                </c:pt>
                <c:pt idx="66">
                  <c:v>14.326943298429379</c:v>
                </c:pt>
                <c:pt idx="67">
                  <c:v>14.529535068917308</c:v>
                </c:pt>
                <c:pt idx="68">
                  <c:v>14.732126839405238</c:v>
                </c:pt>
                <c:pt idx="69">
                  <c:v>14.934718609893167</c:v>
                </c:pt>
                <c:pt idx="70">
                  <c:v>15.137310380381097</c:v>
                </c:pt>
                <c:pt idx="71">
                  <c:v>15.339902150869026</c:v>
                </c:pt>
                <c:pt idx="72">
                  <c:v>15.542493921356956</c:v>
                </c:pt>
                <c:pt idx="73">
                  <c:v>15.745085691844885</c:v>
                </c:pt>
                <c:pt idx="74">
                  <c:v>15.947677462332814</c:v>
                </c:pt>
                <c:pt idx="75">
                  <c:v>16.150269232820744</c:v>
                </c:pt>
                <c:pt idx="76">
                  <c:v>16.352861003308671</c:v>
                </c:pt>
                <c:pt idx="77">
                  <c:v>16.555452773796599</c:v>
                </c:pt>
                <c:pt idx="78">
                  <c:v>16.758044544284527</c:v>
                </c:pt>
                <c:pt idx="79">
                  <c:v>16.960636314772454</c:v>
                </c:pt>
                <c:pt idx="80">
                  <c:v>17.163228085260382</c:v>
                </c:pt>
                <c:pt idx="81">
                  <c:v>17.36581985574831</c:v>
                </c:pt>
                <c:pt idx="82">
                  <c:v>17.568411626236237</c:v>
                </c:pt>
                <c:pt idx="83">
                  <c:v>17.771003396724165</c:v>
                </c:pt>
                <c:pt idx="84">
                  <c:v>17.973595167212093</c:v>
                </c:pt>
                <c:pt idx="85">
                  <c:v>18.17618693770002</c:v>
                </c:pt>
                <c:pt idx="86">
                  <c:v>18.378778708187948</c:v>
                </c:pt>
                <c:pt idx="87">
                  <c:v>18.581370478675876</c:v>
                </c:pt>
                <c:pt idx="88">
                  <c:v>18.783962249163803</c:v>
                </c:pt>
                <c:pt idx="89">
                  <c:v>18.986554019651731</c:v>
                </c:pt>
                <c:pt idx="90">
                  <c:v>19.189145790139658</c:v>
                </c:pt>
                <c:pt idx="91">
                  <c:v>19.391737560627586</c:v>
                </c:pt>
                <c:pt idx="92">
                  <c:v>19.594329331115514</c:v>
                </c:pt>
                <c:pt idx="93">
                  <c:v>19.796921101603441</c:v>
                </c:pt>
                <c:pt idx="94">
                  <c:v>19.999512872091369</c:v>
                </c:pt>
                <c:pt idx="95">
                  <c:v>20.202104642579297</c:v>
                </c:pt>
                <c:pt idx="96">
                  <c:v>20.404696413067224</c:v>
                </c:pt>
                <c:pt idx="97">
                  <c:v>20.607288183555152</c:v>
                </c:pt>
                <c:pt idx="98">
                  <c:v>20.80987995404308</c:v>
                </c:pt>
                <c:pt idx="99" formatCode="0.0000">
                  <c:v>21.012471724531007</c:v>
                </c:pt>
              </c:numCache>
            </c:numRef>
          </c:xVal>
          <c:yVal>
            <c:numRef>
              <c:f>Calc_Area!$H$210:$H$309</c:f>
              <c:numCache>
                <c:formatCode>General</c:formatCode>
                <c:ptCount val="100"/>
                <c:pt idx="0">
                  <c:v>9.999999999999998E-4</c:v>
                </c:pt>
                <c:pt idx="1">
                  <c:v>3.407152507890423E-3</c:v>
                </c:pt>
                <c:pt idx="2">
                  <c:v>8.5754275042725543E-3</c:v>
                </c:pt>
                <c:pt idx="3">
                  <c:v>1.7604812781845006E-2</c:v>
                </c:pt>
                <c:pt idx="4">
                  <c:v>3.1281908470244257E-2</c:v>
                </c:pt>
                <c:pt idx="5">
                  <c:v>4.9974023775289859E-2</c:v>
                </c:pt>
                <c:pt idx="6">
                  <c:v>7.3637851450716663E-2</c:v>
                </c:pt>
                <c:pt idx="7">
                  <c:v>0.10189579236534711</c:v>
                </c:pt>
                <c:pt idx="8">
                  <c:v>0.1341377549909937</c:v>
                </c:pt>
                <c:pt idx="9">
                  <c:v>0.16962079131119989</c:v>
                </c:pt>
                <c:pt idx="10">
                  <c:v>0.20755249030945927</c:v>
                </c:pt>
                <c:pt idx="11">
                  <c:v>0.24715343902316417</c:v>
                </c:pt>
                <c:pt idx="12">
                  <c:v>0.28769943582472268</c:v>
                </c:pt>
                <c:pt idx="13">
                  <c:v>0.32854663626717001</c:v>
                </c:pt>
                <c:pt idx="14">
                  <c:v>0.36914355339765048</c:v>
                </c:pt>
                <c:pt idx="15">
                  <c:v>0.40903364950828891</c:v>
                </c:pt>
                <c:pt idx="16">
                  <c:v>0.44785166917390196</c:v>
                </c:pt>
                <c:pt idx="17">
                  <c:v>0.48531617073245442</c:v>
                </c:pt>
                <c:pt idx="18">
                  <c:v>0.52122006350479433</c:v>
                </c:pt>
                <c:pt idx="19">
                  <c:v>0.55542041194635972</c:v>
                </c:pt>
                <c:pt idx="20">
                  <c:v>0.5878283393334881</c:v>
                </c:pt>
                <c:pt idx="21">
                  <c:v>0.61839954360775307</c:v>
                </c:pt>
                <c:pt idx="22">
                  <c:v>0.64712570889610044</c:v>
                </c:pt>
                <c:pt idx="23">
                  <c:v>0.67402693862356555</c:v>
                </c:pt>
                <c:pt idx="24">
                  <c:v>0.69914523238639315</c:v>
                </c:pt>
                <c:pt idx="25">
                  <c:v>0.72253896415933017</c:v>
                </c:pt>
                <c:pt idx="26">
                  <c:v>0.74427828239948446</c:v>
                </c:pt>
                <c:pt idx="27">
                  <c:v>0.76444133441948403</c:v>
                </c:pt>
                <c:pt idx="28">
                  <c:v>0.78311121160242791</c:v>
                </c:pt>
                <c:pt idx="29">
                  <c:v>0.8003735140206345</c:v>
                </c:pt>
                <c:pt idx="30">
                  <c:v>0.81631443959144112</c:v>
                </c:pt>
                <c:pt idx="31">
                  <c:v>0.83101931187667399</c:v>
                </c:pt>
                <c:pt idx="32">
                  <c:v>0.84457147057089776</c:v>
                </c:pt>
                <c:pt idx="33">
                  <c:v>0.85705145871570387</c:v>
                </c:pt>
                <c:pt idx="34">
                  <c:v>0.86853645017578895</c:v>
                </c:pt>
                <c:pt idx="35">
                  <c:v>0.87909986961713638</c:v>
                </c:pt>
                <c:pt idx="36">
                  <c:v>0.88881116500115254</c:v>
                </c:pt>
                <c:pt idx="37">
                  <c:v>0.89773569941843057</c:v>
                </c:pt>
                <c:pt idx="38">
                  <c:v>0.90593473496295895</c:v>
                </c:pt>
                <c:pt idx="39">
                  <c:v>0.91346548635926927</c:v>
                </c:pt>
                <c:pt idx="40">
                  <c:v>0.92038122628640917</c:v>
                </c:pt>
                <c:pt idx="41">
                  <c:v>0.92673142788503404</c:v>
                </c:pt>
                <c:pt idx="42">
                  <c:v>0.93256193287756661</c:v>
                </c:pt>
                <c:pt idx="43">
                  <c:v>0.93791513616111188</c:v>
                </c:pt>
                <c:pt idx="44">
                  <c:v>0.94283017972590022</c:v>
                </c:pt>
                <c:pt idx="45">
                  <c:v>0.9473431503771842</c:v>
                </c:pt>
                <c:pt idx="46">
                  <c:v>0.9514872770558811</c:v>
                </c:pt>
                <c:pt idx="47">
                  <c:v>0.95529312461469973</c:v>
                </c:pt>
                <c:pt idx="48">
                  <c:v>0.95878878175636628</c:v>
                </c:pt>
                <c:pt idx="49">
                  <c:v>0.9620000415163914</c:v>
                </c:pt>
                <c:pt idx="50">
                  <c:v>0.96495057320616962</c:v>
                </c:pt>
                <c:pt idx="51">
                  <c:v>0.96766208514945251</c:v>
                </c:pt>
                <c:pt idx="52">
                  <c:v>0.97015447786831133</c:v>
                </c:pt>
                <c:pt idx="53">
                  <c:v>0.97244598762175505</c:v>
                </c:pt>
                <c:pt idx="54">
                  <c:v>0.97455332038614773</c:v>
                </c:pt>
                <c:pt idx="55">
                  <c:v>0.97649177650374019</c:v>
                </c:pt>
                <c:pt idx="56">
                  <c:v>0.97827536632403111</c:v>
                </c:pt>
                <c:pt idx="57">
                  <c:v>0.97991691723047836</c:v>
                </c:pt>
                <c:pt idx="58">
                  <c:v>0.98142817248891834</c:v>
                </c:pt>
                <c:pt idx="59">
                  <c:v>0.98281988237929119</c:v>
                </c:pt>
                <c:pt idx="60">
                  <c:v>0.98410188808323029</c:v>
                </c:pt>
                <c:pt idx="61">
                  <c:v>0.98528319880022353</c:v>
                </c:pt>
                <c:pt idx="62">
                  <c:v>0.98637206255715559</c:v>
                </c:pt>
                <c:pt idx="63">
                  <c:v>0.987376031162297</c:v>
                </c:pt>
                <c:pt idx="64">
                  <c:v>0.98830201973695087</c:v>
                </c:pt>
                <c:pt idx="65">
                  <c:v>0.98915636123736217</c:v>
                </c:pt>
                <c:pt idx="66">
                  <c:v>0.9899448563572012</c:v>
                </c:pt>
                <c:pt idx="67">
                  <c:v>0.99067281917776173</c:v>
                </c:pt>
                <c:pt idx="68">
                  <c:v>0.99134511890959653</c:v>
                </c:pt>
                <c:pt idx="69">
                  <c:v>0.9919662180461013</c:v>
                </c:pt>
                <c:pt idx="70">
                  <c:v>0.99254020722690584</c:v>
                </c:pt>
                <c:pt idx="71">
                  <c:v>0.99307083708708077</c:v>
                </c:pt>
                <c:pt idx="72">
                  <c:v>0.99356154734727686</c:v>
                </c:pt>
                <c:pt idx="73">
                  <c:v>0.99401549338010475</c:v>
                </c:pt>
                <c:pt idx="74">
                  <c:v>0.99443557046938913</c:v>
                </c:pt>
                <c:pt idx="75">
                  <c:v>0.99482443596141057</c:v>
                </c:pt>
                <c:pt idx="76">
                  <c:v>0.99518452949090264</c:v>
                </c:pt>
                <c:pt idx="77">
                  <c:v>0.99551809144935266</c:v>
                </c:pt>
                <c:pt idx="78">
                  <c:v>0.99582717984905056</c:v>
                </c:pt>
                <c:pt idx="79">
                  <c:v>0.99611368572328018</c:v>
                </c:pt>
                <c:pt idx="80">
                  <c:v>0.9963793471910114</c:v>
                </c:pt>
                <c:pt idx="81">
                  <c:v>0.99662576230336242</c:v>
                </c:pt>
                <c:pt idx="82">
                  <c:v>0.99685440077891463</c:v>
                </c:pt>
                <c:pt idx="83">
                  <c:v>0.9970666147256082</c:v>
                </c:pt>
                <c:pt idx="84">
                  <c:v>0.99726364843837212</c:v>
                </c:pt>
                <c:pt idx="85">
                  <c:v>0.99744664735379618</c:v>
                </c:pt>
                <c:pt idx="86">
                  <c:v>0.99761666623597034</c:v>
                </c:pt>
                <c:pt idx="87">
                  <c:v>0.99777467666105701</c:v>
                </c:pt>
                <c:pt idx="88">
                  <c:v>0.99792157386216951</c:v>
                </c:pt>
                <c:pt idx="89">
                  <c:v>0.99805818299066396</c:v>
                </c:pt>
                <c:pt idx="90">
                  <c:v>0.99818526484496095</c:v>
                </c:pt>
                <c:pt idx="91">
                  <c:v>0.99830352111347065</c:v>
                </c:pt>
                <c:pt idx="92">
                  <c:v>0.99841359917404837</c:v>
                </c:pt>
                <c:pt idx="93">
                  <c:v>0.9985160964886356</c:v>
                </c:pt>
                <c:pt idx="94">
                  <c:v>0.99861156462829981</c:v>
                </c:pt>
                <c:pt idx="95">
                  <c:v>0.99870051296076168</c:v>
                </c:pt>
                <c:pt idx="96">
                  <c:v>0.9987834120296426</c:v>
                </c:pt>
                <c:pt idx="97">
                  <c:v>0.99886069665207622</c:v>
                </c:pt>
                <c:pt idx="98">
                  <c:v>0.99893276875896264</c:v>
                </c:pt>
                <c:pt idx="99">
                  <c:v>0.999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73-47E0-9F63-0A3E3AD3E9DB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Calc_Area!$E$210:$E$309</c:f>
              <c:numCache>
                <c:formatCode>0.000</c:formatCode>
                <c:ptCount val="100"/>
                <c:pt idx="0">
                  <c:v>0.955886446226067</c:v>
                </c:pt>
                <c:pt idx="1">
                  <c:v>1.1584782167139958</c:v>
                </c:pt>
                <c:pt idx="2">
                  <c:v>1.3610699872019245</c:v>
                </c:pt>
                <c:pt idx="3">
                  <c:v>1.5636617576898533</c:v>
                </c:pt>
                <c:pt idx="4">
                  <c:v>1.766253528177782</c:v>
                </c:pt>
                <c:pt idx="5">
                  <c:v>1.9688452986657108</c:v>
                </c:pt>
                <c:pt idx="6">
                  <c:v>2.1714370691536393</c:v>
                </c:pt>
                <c:pt idx="7">
                  <c:v>2.3740288396415679</c:v>
                </c:pt>
                <c:pt idx="8">
                  <c:v>2.5766206101294964</c:v>
                </c:pt>
                <c:pt idx="9">
                  <c:v>2.7792123806174249</c:v>
                </c:pt>
                <c:pt idx="10">
                  <c:v>2.9818041511053535</c:v>
                </c:pt>
                <c:pt idx="11">
                  <c:v>3.184395921593282</c:v>
                </c:pt>
                <c:pt idx="12">
                  <c:v>3.3869876920812105</c:v>
                </c:pt>
                <c:pt idx="13">
                  <c:v>3.5895794625691391</c:v>
                </c:pt>
                <c:pt idx="14">
                  <c:v>3.7921712330570676</c:v>
                </c:pt>
                <c:pt idx="15">
                  <c:v>3.9947630035449961</c:v>
                </c:pt>
                <c:pt idx="16">
                  <c:v>4.1973547740329247</c:v>
                </c:pt>
                <c:pt idx="17">
                  <c:v>4.3999465445208532</c:v>
                </c:pt>
                <c:pt idx="18">
                  <c:v>4.6025383150087817</c:v>
                </c:pt>
                <c:pt idx="19">
                  <c:v>4.8051300854967103</c:v>
                </c:pt>
                <c:pt idx="20">
                  <c:v>5.0077218559846388</c:v>
                </c:pt>
                <c:pt idx="21">
                  <c:v>5.2103136264725673</c:v>
                </c:pt>
                <c:pt idx="22">
                  <c:v>5.4129053969604959</c:v>
                </c:pt>
                <c:pt idx="23">
                  <c:v>5.6154971674484244</c:v>
                </c:pt>
                <c:pt idx="24">
                  <c:v>5.818088937936353</c:v>
                </c:pt>
                <c:pt idx="25">
                  <c:v>6.0206807084242815</c:v>
                </c:pt>
                <c:pt idx="26">
                  <c:v>6.22327247891221</c:v>
                </c:pt>
                <c:pt idx="27">
                  <c:v>6.4258642494001386</c:v>
                </c:pt>
                <c:pt idx="28">
                  <c:v>6.6284560198880671</c:v>
                </c:pt>
                <c:pt idx="29">
                  <c:v>6.8310477903759956</c:v>
                </c:pt>
                <c:pt idx="30">
                  <c:v>7.0336395608639242</c:v>
                </c:pt>
                <c:pt idx="31">
                  <c:v>7.2362313313518527</c:v>
                </c:pt>
                <c:pt idx="32">
                  <c:v>7.4388231018397812</c:v>
                </c:pt>
                <c:pt idx="33">
                  <c:v>7.6414148723277098</c:v>
                </c:pt>
                <c:pt idx="34">
                  <c:v>7.8440066428156383</c:v>
                </c:pt>
                <c:pt idx="35">
                  <c:v>8.0465984133035668</c:v>
                </c:pt>
                <c:pt idx="36">
                  <c:v>8.2491901837914963</c:v>
                </c:pt>
                <c:pt idx="37">
                  <c:v>8.4517819542794257</c:v>
                </c:pt>
                <c:pt idx="38">
                  <c:v>8.6543737247673551</c:v>
                </c:pt>
                <c:pt idx="39">
                  <c:v>8.8569654952552845</c:v>
                </c:pt>
                <c:pt idx="40">
                  <c:v>9.059557265743214</c:v>
                </c:pt>
                <c:pt idx="41">
                  <c:v>9.2621490362311434</c:v>
                </c:pt>
                <c:pt idx="42">
                  <c:v>9.4647408067190728</c:v>
                </c:pt>
                <c:pt idx="43">
                  <c:v>9.6673325772070022</c:v>
                </c:pt>
                <c:pt idx="44">
                  <c:v>9.8699243476949317</c:v>
                </c:pt>
                <c:pt idx="45">
                  <c:v>10.072516118182861</c:v>
                </c:pt>
                <c:pt idx="46">
                  <c:v>10.275107888670791</c:v>
                </c:pt>
                <c:pt idx="47">
                  <c:v>10.47769965915872</c:v>
                </c:pt>
                <c:pt idx="48">
                  <c:v>10.680291429646649</c:v>
                </c:pt>
                <c:pt idx="49">
                  <c:v>10.882883200134579</c:v>
                </c:pt>
                <c:pt idx="50">
                  <c:v>11.085474970622508</c:v>
                </c:pt>
                <c:pt idx="51">
                  <c:v>11.288066741110438</c:v>
                </c:pt>
                <c:pt idx="52">
                  <c:v>11.490658511598367</c:v>
                </c:pt>
                <c:pt idx="53">
                  <c:v>11.693250282086296</c:v>
                </c:pt>
                <c:pt idx="54">
                  <c:v>11.895842052574226</c:v>
                </c:pt>
                <c:pt idx="55">
                  <c:v>12.098433823062155</c:v>
                </c:pt>
                <c:pt idx="56">
                  <c:v>12.301025593550085</c:v>
                </c:pt>
                <c:pt idx="57">
                  <c:v>12.503617364038014</c:v>
                </c:pt>
                <c:pt idx="58">
                  <c:v>12.706209134525944</c:v>
                </c:pt>
                <c:pt idx="59">
                  <c:v>12.908800905013873</c:v>
                </c:pt>
                <c:pt idx="60">
                  <c:v>13.111392675501802</c:v>
                </c:pt>
                <c:pt idx="61">
                  <c:v>13.313984445989732</c:v>
                </c:pt>
                <c:pt idx="62">
                  <c:v>13.516576216477661</c:v>
                </c:pt>
                <c:pt idx="63">
                  <c:v>13.719167986965591</c:v>
                </c:pt>
                <c:pt idx="64">
                  <c:v>13.92175975745352</c:v>
                </c:pt>
                <c:pt idx="65">
                  <c:v>14.12435152794145</c:v>
                </c:pt>
                <c:pt idx="66">
                  <c:v>14.326943298429379</c:v>
                </c:pt>
                <c:pt idx="67">
                  <c:v>14.529535068917308</c:v>
                </c:pt>
                <c:pt idx="68">
                  <c:v>14.732126839405238</c:v>
                </c:pt>
                <c:pt idx="69">
                  <c:v>14.934718609893167</c:v>
                </c:pt>
                <c:pt idx="70">
                  <c:v>15.137310380381097</c:v>
                </c:pt>
                <c:pt idx="71">
                  <c:v>15.339902150869026</c:v>
                </c:pt>
                <c:pt idx="72">
                  <c:v>15.542493921356956</c:v>
                </c:pt>
                <c:pt idx="73">
                  <c:v>15.745085691844885</c:v>
                </c:pt>
                <c:pt idx="74">
                  <c:v>15.947677462332814</c:v>
                </c:pt>
                <c:pt idx="75">
                  <c:v>16.150269232820744</c:v>
                </c:pt>
                <c:pt idx="76">
                  <c:v>16.352861003308671</c:v>
                </c:pt>
                <c:pt idx="77">
                  <c:v>16.555452773796599</c:v>
                </c:pt>
                <c:pt idx="78">
                  <c:v>16.758044544284527</c:v>
                </c:pt>
                <c:pt idx="79">
                  <c:v>16.960636314772454</c:v>
                </c:pt>
                <c:pt idx="80">
                  <c:v>17.163228085260382</c:v>
                </c:pt>
                <c:pt idx="81">
                  <c:v>17.36581985574831</c:v>
                </c:pt>
                <c:pt idx="82">
                  <c:v>17.568411626236237</c:v>
                </c:pt>
                <c:pt idx="83">
                  <c:v>17.771003396724165</c:v>
                </c:pt>
                <c:pt idx="84">
                  <c:v>17.973595167212093</c:v>
                </c:pt>
                <c:pt idx="85">
                  <c:v>18.17618693770002</c:v>
                </c:pt>
                <c:pt idx="86">
                  <c:v>18.378778708187948</c:v>
                </c:pt>
                <c:pt idx="87">
                  <c:v>18.581370478675876</c:v>
                </c:pt>
                <c:pt idx="88">
                  <c:v>18.783962249163803</c:v>
                </c:pt>
                <c:pt idx="89">
                  <c:v>18.986554019651731</c:v>
                </c:pt>
                <c:pt idx="90">
                  <c:v>19.189145790139658</c:v>
                </c:pt>
                <c:pt idx="91">
                  <c:v>19.391737560627586</c:v>
                </c:pt>
                <c:pt idx="92">
                  <c:v>19.594329331115514</c:v>
                </c:pt>
                <c:pt idx="93">
                  <c:v>19.796921101603441</c:v>
                </c:pt>
                <c:pt idx="94">
                  <c:v>19.999512872091369</c:v>
                </c:pt>
                <c:pt idx="95">
                  <c:v>20.202104642579297</c:v>
                </c:pt>
                <c:pt idx="96">
                  <c:v>20.404696413067224</c:v>
                </c:pt>
                <c:pt idx="97">
                  <c:v>20.607288183555152</c:v>
                </c:pt>
                <c:pt idx="98">
                  <c:v>20.80987995404308</c:v>
                </c:pt>
                <c:pt idx="99" formatCode="0.0000">
                  <c:v>21.012471724531007</c:v>
                </c:pt>
              </c:numCache>
            </c:numRef>
          </c:xVal>
          <c:yVal>
            <c:numRef>
              <c:f>Calc_Area!$I$210:$I$309</c:f>
              <c:numCache>
                <c:formatCode>General</c:formatCode>
                <c:ptCount val="100"/>
                <c:pt idx="0">
                  <c:v>9.999999999999998E-4</c:v>
                </c:pt>
                <c:pt idx="1">
                  <c:v>3.407152507890423E-3</c:v>
                </c:pt>
                <c:pt idx="2">
                  <c:v>8.5754275042725543E-3</c:v>
                </c:pt>
                <c:pt idx="3">
                  <c:v>1.7604812781845006E-2</c:v>
                </c:pt>
                <c:pt idx="4">
                  <c:v>3.1281908470244257E-2</c:v>
                </c:pt>
                <c:pt idx="5">
                  <c:v>4.9974023775289859E-2</c:v>
                </c:pt>
                <c:pt idx="6">
                  <c:v>7.3637851450716663E-2</c:v>
                </c:pt>
                <c:pt idx="7">
                  <c:v>0.10189579236534711</c:v>
                </c:pt>
                <c:pt idx="8">
                  <c:v>0.1341377549909937</c:v>
                </c:pt>
                <c:pt idx="9">
                  <c:v>0.16962079131119989</c:v>
                </c:pt>
                <c:pt idx="10">
                  <c:v>0.20755249030945927</c:v>
                </c:pt>
                <c:pt idx="11">
                  <c:v>0.24715343902316417</c:v>
                </c:pt>
                <c:pt idx="12">
                  <c:v>0.28769943582472268</c:v>
                </c:pt>
                <c:pt idx="13">
                  <c:v>0.32854663626717001</c:v>
                </c:pt>
                <c:pt idx="14">
                  <c:v>0.36914355339765048</c:v>
                </c:pt>
                <c:pt idx="15">
                  <c:v>0.40903364950828891</c:v>
                </c:pt>
                <c:pt idx="16">
                  <c:v>0.44785166917390196</c:v>
                </c:pt>
                <c:pt idx="17">
                  <c:v>0.48531617073245442</c:v>
                </c:pt>
                <c:pt idx="18">
                  <c:v>0.52122006350479433</c:v>
                </c:pt>
                <c:pt idx="19">
                  <c:v>0.55542041194635972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73-47E0-9F63-0A3E3AD3E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58256"/>
        <c:axId val="258358648"/>
      </c:scatterChart>
      <c:valAx>
        <c:axId val="25835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258358648"/>
        <c:crosses val="autoZero"/>
        <c:crossBetween val="midCat"/>
      </c:valAx>
      <c:valAx>
        <c:axId val="258358648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258358256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Calc_Area!$P$214:$P$222</c:f>
              <c:strCache>
                <c:ptCount val="9"/>
                <c:pt idx="0">
                  <c:v>1.3</c:v>
                </c:pt>
                <c:pt idx="4">
                  <c:v>5.6</c:v>
                </c:pt>
                <c:pt idx="8">
                  <c:v>14.2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Calc_Area!$P$214:$P$222</c:f>
              <c:numCache>
                <c:formatCode>General</c:formatCode>
                <c:ptCount val="9"/>
                <c:pt idx="0" formatCode="0.0">
                  <c:v>1.2511275981769607</c:v>
                </c:pt>
                <c:pt idx="4" formatCode="0.0">
                  <c:v>5.5756725417059911</c:v>
                </c:pt>
                <c:pt idx="8" formatCode="0.0">
                  <c:v>14.224762428764052</c:v>
                </c:pt>
              </c:numCache>
            </c:numRef>
          </c:cat>
          <c:val>
            <c:numRef>
              <c:f>Calc_Area!$N$214:$N$222</c:f>
              <c:numCache>
                <c:formatCode>General</c:formatCode>
                <c:ptCount val="9"/>
                <c:pt idx="0">
                  <c:v>16</c:v>
                </c:pt>
                <c:pt idx="1">
                  <c:v>34</c:v>
                </c:pt>
                <c:pt idx="2">
                  <c:v>19</c:v>
                </c:pt>
                <c:pt idx="3">
                  <c:v>11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9-4424-BE22-3DC3D7C68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8744696"/>
        <c:axId val="258745088"/>
      </c:barChart>
      <c:catAx>
        <c:axId val="25874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crossAx val="258745088"/>
        <c:crosses val="autoZero"/>
        <c:auto val="0"/>
        <c:lblAlgn val="ctr"/>
        <c:lblOffset val="100"/>
        <c:tickMarkSkip val="8"/>
        <c:noMultiLvlLbl val="0"/>
      </c:catAx>
      <c:valAx>
        <c:axId val="258745088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8744696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583"/>
          <c:h val="0.77939561608853547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175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[0]!Norm_X</c:f>
              <c:numCache>
                <c:formatCode>0.000</c:formatCode>
                <c:ptCount val="100"/>
                <c:pt idx="0">
                  <c:v>-3</c:v>
                </c:pt>
                <c:pt idx="1">
                  <c:v>-2.9393939393939394</c:v>
                </c:pt>
                <c:pt idx="2">
                  <c:v>-2.8787878787878789</c:v>
                </c:pt>
                <c:pt idx="3">
                  <c:v>-2.8181818181818183</c:v>
                </c:pt>
                <c:pt idx="4">
                  <c:v>-2.7575757575757578</c:v>
                </c:pt>
                <c:pt idx="5">
                  <c:v>-2.6969696969696972</c:v>
                </c:pt>
                <c:pt idx="6">
                  <c:v>-2.6363636363636367</c:v>
                </c:pt>
                <c:pt idx="7">
                  <c:v>-2.5757575757575761</c:v>
                </c:pt>
                <c:pt idx="8">
                  <c:v>-2.5151515151515156</c:v>
                </c:pt>
                <c:pt idx="9">
                  <c:v>-2.454545454545455</c:v>
                </c:pt>
                <c:pt idx="10">
                  <c:v>-2.3939393939393945</c:v>
                </c:pt>
                <c:pt idx="11">
                  <c:v>-2.3333333333333339</c:v>
                </c:pt>
                <c:pt idx="12">
                  <c:v>-2.2727272727272734</c:v>
                </c:pt>
                <c:pt idx="13">
                  <c:v>-2.2121212121212128</c:v>
                </c:pt>
                <c:pt idx="14">
                  <c:v>-2.1515151515151523</c:v>
                </c:pt>
                <c:pt idx="15">
                  <c:v>-2.0909090909090917</c:v>
                </c:pt>
                <c:pt idx="16">
                  <c:v>-2.0303030303030312</c:v>
                </c:pt>
                <c:pt idx="17">
                  <c:v>-1.9696969696969706</c:v>
                </c:pt>
                <c:pt idx="18">
                  <c:v>-1.9090909090909101</c:v>
                </c:pt>
                <c:pt idx="19">
                  <c:v>-1.8484848484848495</c:v>
                </c:pt>
                <c:pt idx="20">
                  <c:v>-1.787878787878789</c:v>
                </c:pt>
                <c:pt idx="21">
                  <c:v>-1.7272727272727284</c:v>
                </c:pt>
                <c:pt idx="22">
                  <c:v>-1.6666666666666679</c:v>
                </c:pt>
                <c:pt idx="23">
                  <c:v>-1.6060606060606073</c:v>
                </c:pt>
                <c:pt idx="24">
                  <c:v>-1.5454545454545467</c:v>
                </c:pt>
                <c:pt idx="25">
                  <c:v>-1.4848484848484862</c:v>
                </c:pt>
                <c:pt idx="26">
                  <c:v>-1.4242424242424256</c:v>
                </c:pt>
                <c:pt idx="27">
                  <c:v>-1.3636363636363651</c:v>
                </c:pt>
                <c:pt idx="28">
                  <c:v>-1.3030303030303045</c:v>
                </c:pt>
                <c:pt idx="29">
                  <c:v>-1.242424242424244</c:v>
                </c:pt>
                <c:pt idx="30">
                  <c:v>-1.1818181818181834</c:v>
                </c:pt>
                <c:pt idx="31">
                  <c:v>-1.1212121212121229</c:v>
                </c:pt>
                <c:pt idx="32">
                  <c:v>-1.0606060606060623</c:v>
                </c:pt>
                <c:pt idx="33">
                  <c:v>-1.0000000000000018</c:v>
                </c:pt>
                <c:pt idx="34">
                  <c:v>-0.93939393939394122</c:v>
                </c:pt>
                <c:pt idx="35">
                  <c:v>-0.87878787878788067</c:v>
                </c:pt>
                <c:pt idx="36">
                  <c:v>-0.81818181818182012</c:v>
                </c:pt>
                <c:pt idx="37">
                  <c:v>-0.75757575757575957</c:v>
                </c:pt>
                <c:pt idx="38">
                  <c:v>-0.69696969696969902</c:v>
                </c:pt>
                <c:pt idx="39">
                  <c:v>-0.63636363636363846</c:v>
                </c:pt>
                <c:pt idx="40">
                  <c:v>-0.57575757575757791</c:v>
                </c:pt>
                <c:pt idx="41">
                  <c:v>-0.51515151515151736</c:v>
                </c:pt>
                <c:pt idx="42">
                  <c:v>-0.45454545454545675</c:v>
                </c:pt>
                <c:pt idx="43">
                  <c:v>-0.39393939393939614</c:v>
                </c:pt>
                <c:pt idx="44">
                  <c:v>-0.33333333333333554</c:v>
                </c:pt>
                <c:pt idx="45">
                  <c:v>-0.27272727272727493</c:v>
                </c:pt>
                <c:pt idx="46">
                  <c:v>-0.21212121212121432</c:v>
                </c:pt>
                <c:pt idx="47">
                  <c:v>-0.15151515151515371</c:v>
                </c:pt>
                <c:pt idx="48">
                  <c:v>-9.0909090909093104E-2</c:v>
                </c:pt>
                <c:pt idx="49">
                  <c:v>-3.0303030303032497E-2</c:v>
                </c:pt>
                <c:pt idx="50">
                  <c:v>3.0303030303028111E-2</c:v>
                </c:pt>
                <c:pt idx="51">
                  <c:v>9.0909090909088719E-2</c:v>
                </c:pt>
                <c:pt idx="52">
                  <c:v>0.15151515151514933</c:v>
                </c:pt>
                <c:pt idx="53">
                  <c:v>0.21212121212120993</c:v>
                </c:pt>
                <c:pt idx="54">
                  <c:v>0.27272727272727054</c:v>
                </c:pt>
                <c:pt idx="55">
                  <c:v>0.33333333333333115</c:v>
                </c:pt>
                <c:pt idx="56">
                  <c:v>0.39393939393939176</c:v>
                </c:pt>
                <c:pt idx="57">
                  <c:v>0.45454545454545237</c:v>
                </c:pt>
                <c:pt idx="58">
                  <c:v>0.51515151515151292</c:v>
                </c:pt>
                <c:pt idx="59">
                  <c:v>0.57575757575757347</c:v>
                </c:pt>
                <c:pt idx="60">
                  <c:v>0.63636363636363402</c:v>
                </c:pt>
                <c:pt idx="61">
                  <c:v>0.69696969696969457</c:v>
                </c:pt>
                <c:pt idx="62">
                  <c:v>0.75757575757575513</c:v>
                </c:pt>
                <c:pt idx="63">
                  <c:v>0.81818181818181568</c:v>
                </c:pt>
                <c:pt idx="64">
                  <c:v>0.87878787878787623</c:v>
                </c:pt>
                <c:pt idx="65">
                  <c:v>0.93939393939393678</c:v>
                </c:pt>
                <c:pt idx="66">
                  <c:v>0.99999999999999734</c:v>
                </c:pt>
                <c:pt idx="67">
                  <c:v>1.0606060606060579</c:v>
                </c:pt>
                <c:pt idx="68">
                  <c:v>1.1212121212121184</c:v>
                </c:pt>
                <c:pt idx="69">
                  <c:v>1.181818181818179</c:v>
                </c:pt>
                <c:pt idx="70">
                  <c:v>1.2424242424242395</c:v>
                </c:pt>
                <c:pt idx="71">
                  <c:v>1.3030303030303001</c:v>
                </c:pt>
                <c:pt idx="72">
                  <c:v>1.3636363636363606</c:v>
                </c:pt>
                <c:pt idx="73">
                  <c:v>1.4242424242424212</c:v>
                </c:pt>
                <c:pt idx="74">
                  <c:v>1.4848484848484818</c:v>
                </c:pt>
                <c:pt idx="75">
                  <c:v>1.5454545454545423</c:v>
                </c:pt>
                <c:pt idx="76">
                  <c:v>1.6060606060606029</c:v>
                </c:pt>
                <c:pt idx="77">
                  <c:v>1.6666666666666634</c:v>
                </c:pt>
                <c:pt idx="78">
                  <c:v>1.727272727272724</c:v>
                </c:pt>
                <c:pt idx="79">
                  <c:v>1.7878787878787845</c:v>
                </c:pt>
                <c:pt idx="80">
                  <c:v>1.8484848484848451</c:v>
                </c:pt>
                <c:pt idx="81">
                  <c:v>1.9090909090909056</c:v>
                </c:pt>
                <c:pt idx="82">
                  <c:v>1.9696969696969662</c:v>
                </c:pt>
                <c:pt idx="83">
                  <c:v>2.0303030303030267</c:v>
                </c:pt>
                <c:pt idx="84">
                  <c:v>2.0909090909090873</c:v>
                </c:pt>
                <c:pt idx="85">
                  <c:v>2.1515151515151478</c:v>
                </c:pt>
                <c:pt idx="86">
                  <c:v>2.2121212121212084</c:v>
                </c:pt>
                <c:pt idx="87">
                  <c:v>2.2727272727272689</c:v>
                </c:pt>
                <c:pt idx="88">
                  <c:v>2.3333333333333295</c:v>
                </c:pt>
                <c:pt idx="89">
                  <c:v>2.39393939393939</c:v>
                </c:pt>
                <c:pt idx="90">
                  <c:v>2.4545454545454506</c:v>
                </c:pt>
                <c:pt idx="91">
                  <c:v>2.5151515151515111</c:v>
                </c:pt>
                <c:pt idx="92">
                  <c:v>2.5757575757575717</c:v>
                </c:pt>
                <c:pt idx="93">
                  <c:v>2.6363636363636322</c:v>
                </c:pt>
                <c:pt idx="94">
                  <c:v>2.6969696969696928</c:v>
                </c:pt>
                <c:pt idx="95">
                  <c:v>2.7575757575757534</c:v>
                </c:pt>
                <c:pt idx="96">
                  <c:v>2.8181818181818139</c:v>
                </c:pt>
                <c:pt idx="97">
                  <c:v>2.8787878787878745</c:v>
                </c:pt>
                <c:pt idx="98">
                  <c:v>2.939393939393935</c:v>
                </c:pt>
                <c:pt idx="99">
                  <c:v>2.9999999999999956</c:v>
                </c:pt>
              </c:numCache>
            </c:numRef>
          </c:xVal>
          <c:yVal>
            <c:numRef>
              <c:f>[0]!Norm_Area</c:f>
              <c:numCache>
                <c:formatCode>General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0.24197072451914292</c:v>
                </c:pt>
                <c:pt idx="34">
                  <c:v>0.25661739984324367</c:v>
                </c:pt>
                <c:pt idx="35">
                  <c:v>0.27115284832047765</c:v>
                </c:pt>
                <c:pt idx="36">
                  <c:v>0.28546116689840456</c:v>
                </c:pt>
                <c:pt idx="37">
                  <c:v>0.29942268327109928</c:v>
                </c:pt>
                <c:pt idx="38">
                  <c:v>0.31291555647791924</c:v>
                </c:pt>
                <c:pt idx="39">
                  <c:v>0.32581749943768962</c:v>
                </c:pt>
                <c:pt idx="40">
                  <c:v>0.3380075906436158</c:v>
                </c:pt>
                <c:pt idx="41">
                  <c:v>0.34936813837265401</c:v>
                </c:pt>
                <c:pt idx="42">
                  <c:v>0.35978655781262298</c:v>
                </c:pt>
                <c:pt idx="43">
                  <c:v>0.36915721961969711</c:v>
                </c:pt>
                <c:pt idx="44">
                  <c:v>0.37738322769299293</c:v>
                </c:pt>
                <c:pt idx="45">
                  <c:v>0.38437808445725874</c:v>
                </c:pt>
                <c:pt idx="46">
                  <c:v>0.39006720370128656</c:v>
                </c:pt>
                <c:pt idx="47">
                  <c:v>0.39438923400491871</c:v>
                </c:pt>
                <c:pt idx="48">
                  <c:v>0.39729715993174164</c:v>
                </c:pt>
                <c:pt idx="49">
                  <c:v>0.39875915335374174</c:v>
                </c:pt>
                <c:pt idx="50">
                  <c:v>0.39875915335374179</c:v>
                </c:pt>
                <c:pt idx="51">
                  <c:v>0.39729715993174186</c:v>
                </c:pt>
                <c:pt idx="52">
                  <c:v>0.39438923400491899</c:v>
                </c:pt>
                <c:pt idx="53">
                  <c:v>0.39006720370128689</c:v>
                </c:pt>
                <c:pt idx="54">
                  <c:v>0.38437808445725918</c:v>
                </c:pt>
                <c:pt idx="55">
                  <c:v>0.37738322769299348</c:v>
                </c:pt>
                <c:pt idx="56">
                  <c:v>0.36915721961969777</c:v>
                </c:pt>
                <c:pt idx="57">
                  <c:v>0.3597865578126237</c:v>
                </c:pt>
                <c:pt idx="58">
                  <c:v>0.34936813837265485</c:v>
                </c:pt>
                <c:pt idx="59">
                  <c:v>0.33800759064361663</c:v>
                </c:pt>
                <c:pt idx="60">
                  <c:v>0.32581749943769056</c:v>
                </c:pt>
                <c:pt idx="61">
                  <c:v>0.31291555647792024</c:v>
                </c:pt>
                <c:pt idx="62">
                  <c:v>0.29942268327110028</c:v>
                </c:pt>
                <c:pt idx="63">
                  <c:v>0.28546116689840562</c:v>
                </c:pt>
                <c:pt idx="64">
                  <c:v>0.2711528483204787</c:v>
                </c:pt>
                <c:pt idx="65">
                  <c:v>0.25661739984324472</c:v>
                </c:pt>
                <c:pt idx="66">
                  <c:v>0.24197072451914403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2F-46CB-8B6A-9FF12384CF65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[0]!Norm_X</c:f>
              <c:numCache>
                <c:formatCode>0.000</c:formatCode>
                <c:ptCount val="100"/>
                <c:pt idx="0">
                  <c:v>-3</c:v>
                </c:pt>
                <c:pt idx="1">
                  <c:v>-2.9393939393939394</c:v>
                </c:pt>
                <c:pt idx="2">
                  <c:v>-2.8787878787878789</c:v>
                </c:pt>
                <c:pt idx="3">
                  <c:v>-2.8181818181818183</c:v>
                </c:pt>
                <c:pt idx="4">
                  <c:v>-2.7575757575757578</c:v>
                </c:pt>
                <c:pt idx="5">
                  <c:v>-2.6969696969696972</c:v>
                </c:pt>
                <c:pt idx="6">
                  <c:v>-2.6363636363636367</c:v>
                </c:pt>
                <c:pt idx="7">
                  <c:v>-2.5757575757575761</c:v>
                </c:pt>
                <c:pt idx="8">
                  <c:v>-2.5151515151515156</c:v>
                </c:pt>
                <c:pt idx="9">
                  <c:v>-2.454545454545455</c:v>
                </c:pt>
                <c:pt idx="10">
                  <c:v>-2.3939393939393945</c:v>
                </c:pt>
                <c:pt idx="11">
                  <c:v>-2.3333333333333339</c:v>
                </c:pt>
                <c:pt idx="12">
                  <c:v>-2.2727272727272734</c:v>
                </c:pt>
                <c:pt idx="13">
                  <c:v>-2.2121212121212128</c:v>
                </c:pt>
                <c:pt idx="14">
                  <c:v>-2.1515151515151523</c:v>
                </c:pt>
                <c:pt idx="15">
                  <c:v>-2.0909090909090917</c:v>
                </c:pt>
                <c:pt idx="16">
                  <c:v>-2.0303030303030312</c:v>
                </c:pt>
                <c:pt idx="17">
                  <c:v>-1.9696969696969706</c:v>
                </c:pt>
                <c:pt idx="18">
                  <c:v>-1.9090909090909101</c:v>
                </c:pt>
                <c:pt idx="19">
                  <c:v>-1.8484848484848495</c:v>
                </c:pt>
                <c:pt idx="20">
                  <c:v>-1.787878787878789</c:v>
                </c:pt>
                <c:pt idx="21">
                  <c:v>-1.7272727272727284</c:v>
                </c:pt>
                <c:pt idx="22">
                  <c:v>-1.6666666666666679</c:v>
                </c:pt>
                <c:pt idx="23">
                  <c:v>-1.6060606060606073</c:v>
                </c:pt>
                <c:pt idx="24">
                  <c:v>-1.5454545454545467</c:v>
                </c:pt>
                <c:pt idx="25">
                  <c:v>-1.4848484848484862</c:v>
                </c:pt>
                <c:pt idx="26">
                  <c:v>-1.4242424242424256</c:v>
                </c:pt>
                <c:pt idx="27">
                  <c:v>-1.3636363636363651</c:v>
                </c:pt>
                <c:pt idx="28">
                  <c:v>-1.3030303030303045</c:v>
                </c:pt>
                <c:pt idx="29">
                  <c:v>-1.242424242424244</c:v>
                </c:pt>
                <c:pt idx="30">
                  <c:v>-1.1818181818181834</c:v>
                </c:pt>
                <c:pt idx="31">
                  <c:v>-1.1212121212121229</c:v>
                </c:pt>
                <c:pt idx="32">
                  <c:v>-1.0606060606060623</c:v>
                </c:pt>
                <c:pt idx="33">
                  <c:v>-1.0000000000000018</c:v>
                </c:pt>
                <c:pt idx="34">
                  <c:v>-0.93939393939394122</c:v>
                </c:pt>
                <c:pt idx="35">
                  <c:v>-0.87878787878788067</c:v>
                </c:pt>
                <c:pt idx="36">
                  <c:v>-0.81818181818182012</c:v>
                </c:pt>
                <c:pt idx="37">
                  <c:v>-0.75757575757575957</c:v>
                </c:pt>
                <c:pt idx="38">
                  <c:v>-0.69696969696969902</c:v>
                </c:pt>
                <c:pt idx="39">
                  <c:v>-0.63636363636363846</c:v>
                </c:pt>
                <c:pt idx="40">
                  <c:v>-0.57575757575757791</c:v>
                </c:pt>
                <c:pt idx="41">
                  <c:v>-0.51515151515151736</c:v>
                </c:pt>
                <c:pt idx="42">
                  <c:v>-0.45454545454545675</c:v>
                </c:pt>
                <c:pt idx="43">
                  <c:v>-0.39393939393939614</c:v>
                </c:pt>
                <c:pt idx="44">
                  <c:v>-0.33333333333333554</c:v>
                </c:pt>
                <c:pt idx="45">
                  <c:v>-0.27272727272727493</c:v>
                </c:pt>
                <c:pt idx="46">
                  <c:v>-0.21212121212121432</c:v>
                </c:pt>
                <c:pt idx="47">
                  <c:v>-0.15151515151515371</c:v>
                </c:pt>
                <c:pt idx="48">
                  <c:v>-9.0909090909093104E-2</c:v>
                </c:pt>
                <c:pt idx="49">
                  <c:v>-3.0303030303032497E-2</c:v>
                </c:pt>
                <c:pt idx="50">
                  <c:v>3.0303030303028111E-2</c:v>
                </c:pt>
                <c:pt idx="51">
                  <c:v>9.0909090909088719E-2</c:v>
                </c:pt>
                <c:pt idx="52">
                  <c:v>0.15151515151514933</c:v>
                </c:pt>
                <c:pt idx="53">
                  <c:v>0.21212121212120993</c:v>
                </c:pt>
                <c:pt idx="54">
                  <c:v>0.27272727272727054</c:v>
                </c:pt>
                <c:pt idx="55">
                  <c:v>0.33333333333333115</c:v>
                </c:pt>
                <c:pt idx="56">
                  <c:v>0.39393939393939176</c:v>
                </c:pt>
                <c:pt idx="57">
                  <c:v>0.45454545454545237</c:v>
                </c:pt>
                <c:pt idx="58">
                  <c:v>0.51515151515151292</c:v>
                </c:pt>
                <c:pt idx="59">
                  <c:v>0.57575757575757347</c:v>
                </c:pt>
                <c:pt idx="60">
                  <c:v>0.63636363636363402</c:v>
                </c:pt>
                <c:pt idx="61">
                  <c:v>0.69696969696969457</c:v>
                </c:pt>
                <c:pt idx="62">
                  <c:v>0.75757575757575513</c:v>
                </c:pt>
                <c:pt idx="63">
                  <c:v>0.81818181818181568</c:v>
                </c:pt>
                <c:pt idx="64">
                  <c:v>0.87878787878787623</c:v>
                </c:pt>
                <c:pt idx="65">
                  <c:v>0.93939393939393678</c:v>
                </c:pt>
                <c:pt idx="66">
                  <c:v>0.99999999999999734</c:v>
                </c:pt>
                <c:pt idx="67">
                  <c:v>1.0606060606060579</c:v>
                </c:pt>
                <c:pt idx="68">
                  <c:v>1.1212121212121184</c:v>
                </c:pt>
                <c:pt idx="69">
                  <c:v>1.181818181818179</c:v>
                </c:pt>
                <c:pt idx="70">
                  <c:v>1.2424242424242395</c:v>
                </c:pt>
                <c:pt idx="71">
                  <c:v>1.3030303030303001</c:v>
                </c:pt>
                <c:pt idx="72">
                  <c:v>1.3636363636363606</c:v>
                </c:pt>
                <c:pt idx="73">
                  <c:v>1.4242424242424212</c:v>
                </c:pt>
                <c:pt idx="74">
                  <c:v>1.4848484848484818</c:v>
                </c:pt>
                <c:pt idx="75">
                  <c:v>1.5454545454545423</c:v>
                </c:pt>
                <c:pt idx="76">
                  <c:v>1.6060606060606029</c:v>
                </c:pt>
                <c:pt idx="77">
                  <c:v>1.6666666666666634</c:v>
                </c:pt>
                <c:pt idx="78">
                  <c:v>1.727272727272724</c:v>
                </c:pt>
                <c:pt idx="79">
                  <c:v>1.7878787878787845</c:v>
                </c:pt>
                <c:pt idx="80">
                  <c:v>1.8484848484848451</c:v>
                </c:pt>
                <c:pt idx="81">
                  <c:v>1.9090909090909056</c:v>
                </c:pt>
                <c:pt idx="82">
                  <c:v>1.9696969696969662</c:v>
                </c:pt>
                <c:pt idx="83">
                  <c:v>2.0303030303030267</c:v>
                </c:pt>
                <c:pt idx="84">
                  <c:v>2.0909090909090873</c:v>
                </c:pt>
                <c:pt idx="85">
                  <c:v>2.1515151515151478</c:v>
                </c:pt>
                <c:pt idx="86">
                  <c:v>2.2121212121212084</c:v>
                </c:pt>
                <c:pt idx="87">
                  <c:v>2.2727272727272689</c:v>
                </c:pt>
                <c:pt idx="88">
                  <c:v>2.3333333333333295</c:v>
                </c:pt>
                <c:pt idx="89">
                  <c:v>2.39393939393939</c:v>
                </c:pt>
                <c:pt idx="90">
                  <c:v>2.4545454545454506</c:v>
                </c:pt>
                <c:pt idx="91">
                  <c:v>2.5151515151515111</c:v>
                </c:pt>
                <c:pt idx="92">
                  <c:v>2.5757575757575717</c:v>
                </c:pt>
                <c:pt idx="93">
                  <c:v>2.6363636363636322</c:v>
                </c:pt>
                <c:pt idx="94">
                  <c:v>2.6969696969696928</c:v>
                </c:pt>
                <c:pt idx="95">
                  <c:v>2.7575757575757534</c:v>
                </c:pt>
                <c:pt idx="96">
                  <c:v>2.8181818181818139</c:v>
                </c:pt>
                <c:pt idx="97">
                  <c:v>2.8787878787878745</c:v>
                </c:pt>
                <c:pt idx="98">
                  <c:v>2.939393939393935</c:v>
                </c:pt>
                <c:pt idx="99">
                  <c:v>2.9999999999999956</c:v>
                </c:pt>
              </c:numCache>
            </c:numRef>
          </c:xVal>
          <c:yVal>
            <c:numRef>
              <c:f>[0]!Norm_Y</c:f>
              <c:numCache>
                <c:formatCode>General</c:formatCode>
                <c:ptCount val="100"/>
                <c:pt idx="0">
                  <c:v>4.4318484119380075E-3</c:v>
                </c:pt>
                <c:pt idx="1">
                  <c:v>5.3057884252876069E-3</c:v>
                </c:pt>
                <c:pt idx="2">
                  <c:v>6.3287764285827617E-3</c:v>
                </c:pt>
                <c:pt idx="3">
                  <c:v>7.5213253487093198E-3</c:v>
                </c:pt>
                <c:pt idx="4">
                  <c:v>8.9058175134160335E-3</c:v>
                </c:pt>
                <c:pt idx="5">
                  <c:v>1.0506498522150199E-2</c:v>
                </c:pt>
                <c:pt idx="6">
                  <c:v>1.2349432791521104E-2</c:v>
                </c:pt>
                <c:pt idx="7">
                  <c:v>1.4462414797634179E-2</c:v>
                </c:pt>
                <c:pt idx="8">
                  <c:v>1.6874830186622232E-2</c:v>
                </c:pt>
                <c:pt idx="9">
                  <c:v>1.961746128574738E-2</c:v>
                </c:pt>
                <c:pt idx="10">
                  <c:v>2.2722232145095403E-2</c:v>
                </c:pt>
                <c:pt idx="11">
                  <c:v>2.6221889093709462E-2</c:v>
                </c:pt>
                <c:pt idx="12">
                  <c:v>3.014961391680061E-2</c:v>
                </c:pt>
                <c:pt idx="13">
                  <c:v>3.4538568156730495E-2</c:v>
                </c:pt>
                <c:pt idx="14">
                  <c:v>3.9421368704028223E-2</c:v>
                </c:pt>
                <c:pt idx="15">
                  <c:v>4.4829496758592657E-2</c:v>
                </c:pt>
                <c:pt idx="16">
                  <c:v>5.0792644375803962E-2</c:v>
                </c:pt>
                <c:pt idx="17">
                  <c:v>5.7338005124812817E-2</c:v>
                </c:pt>
                <c:pt idx="18">
                  <c:v>6.4489517820932679E-2</c:v>
                </c:pt>
                <c:pt idx="19">
                  <c:v>7.2267074782332588E-2</c:v>
                </c:pt>
                <c:pt idx="20">
                  <c:v>8.0685708523163494E-2</c:v>
                </c:pt>
                <c:pt idx="21">
                  <c:v>8.9754773141324101E-2</c:v>
                </c:pt>
                <c:pt idx="22">
                  <c:v>9.9477138792748498E-2</c:v>
                </c:pt>
                <c:pt idx="23">
                  <c:v>0.10984841946506989</c:v>
                </c:pt>
                <c:pt idx="24">
                  <c:v>0.12085625567149869</c:v>
                </c:pt>
                <c:pt idx="25">
                  <c:v>0.13247967458475365</c:v>
                </c:pt>
                <c:pt idx="26">
                  <c:v>0.14468855043375228</c:v>
                </c:pt>
                <c:pt idx="27">
                  <c:v>0.15744318761884338</c:v>
                </c:pt>
                <c:pt idx="28">
                  <c:v>0.17069404790904771</c:v>
                </c:pt>
                <c:pt idx="29">
                  <c:v>0.18438164123366113</c:v>
                </c:pt>
                <c:pt idx="30">
                  <c:v>0.19843659696308485</c:v>
                </c:pt>
                <c:pt idx="31">
                  <c:v>0.21277992921081881</c:v>
                </c:pt>
                <c:pt idx="32">
                  <c:v>0.22732350563136053</c:v>
                </c:pt>
                <c:pt idx="33">
                  <c:v>0.24197072451914292</c:v>
                </c:pt>
                <c:pt idx="34">
                  <c:v>0.25661739984324367</c:v>
                </c:pt>
                <c:pt idx="35">
                  <c:v>0.27115284832047765</c:v>
                </c:pt>
                <c:pt idx="36">
                  <c:v>0.28546116689840456</c:v>
                </c:pt>
                <c:pt idx="37">
                  <c:v>0.29942268327109928</c:v>
                </c:pt>
                <c:pt idx="38">
                  <c:v>0.31291555647791924</c:v>
                </c:pt>
                <c:pt idx="39">
                  <c:v>0.32581749943768962</c:v>
                </c:pt>
                <c:pt idx="40">
                  <c:v>0.3380075906436158</c:v>
                </c:pt>
                <c:pt idx="41">
                  <c:v>0.34936813837265401</c:v>
                </c:pt>
                <c:pt idx="42">
                  <c:v>0.35978655781262298</c:v>
                </c:pt>
                <c:pt idx="43">
                  <c:v>0.36915721961969711</c:v>
                </c:pt>
                <c:pt idx="44">
                  <c:v>0.37738322769299293</c:v>
                </c:pt>
                <c:pt idx="45">
                  <c:v>0.38437808445725874</c:v>
                </c:pt>
                <c:pt idx="46">
                  <c:v>0.39006720370128656</c:v>
                </c:pt>
                <c:pt idx="47">
                  <c:v>0.39438923400491871</c:v>
                </c:pt>
                <c:pt idx="48">
                  <c:v>0.39729715993174164</c:v>
                </c:pt>
                <c:pt idx="49">
                  <c:v>0.39875915335374174</c:v>
                </c:pt>
                <c:pt idx="50">
                  <c:v>0.39875915335374179</c:v>
                </c:pt>
                <c:pt idx="51">
                  <c:v>0.39729715993174186</c:v>
                </c:pt>
                <c:pt idx="52">
                  <c:v>0.39438923400491899</c:v>
                </c:pt>
                <c:pt idx="53">
                  <c:v>0.39006720370128689</c:v>
                </c:pt>
                <c:pt idx="54">
                  <c:v>0.38437808445725918</c:v>
                </c:pt>
                <c:pt idx="55">
                  <c:v>0.37738322769299348</c:v>
                </c:pt>
                <c:pt idx="56">
                  <c:v>0.36915721961969777</c:v>
                </c:pt>
                <c:pt idx="57">
                  <c:v>0.3597865578126237</c:v>
                </c:pt>
                <c:pt idx="58">
                  <c:v>0.34936813837265485</c:v>
                </c:pt>
                <c:pt idx="59">
                  <c:v>0.33800759064361663</c:v>
                </c:pt>
                <c:pt idx="60">
                  <c:v>0.32581749943769056</c:v>
                </c:pt>
                <c:pt idx="61">
                  <c:v>0.31291555647792024</c:v>
                </c:pt>
                <c:pt idx="62">
                  <c:v>0.29942268327110028</c:v>
                </c:pt>
                <c:pt idx="63">
                  <c:v>0.28546116689840562</c:v>
                </c:pt>
                <c:pt idx="64">
                  <c:v>0.2711528483204787</c:v>
                </c:pt>
                <c:pt idx="65">
                  <c:v>0.25661739984324472</c:v>
                </c:pt>
                <c:pt idx="66">
                  <c:v>0.24197072451914403</c:v>
                </c:pt>
                <c:pt idx="67">
                  <c:v>0.22732350563136161</c:v>
                </c:pt>
                <c:pt idx="68">
                  <c:v>0.21277992921081981</c:v>
                </c:pt>
                <c:pt idx="69">
                  <c:v>0.19843659696308588</c:v>
                </c:pt>
                <c:pt idx="70">
                  <c:v>0.18438164123366216</c:v>
                </c:pt>
                <c:pt idx="71">
                  <c:v>0.17069404790904871</c:v>
                </c:pt>
                <c:pt idx="72">
                  <c:v>0.15744318761884432</c:v>
                </c:pt>
                <c:pt idx="73">
                  <c:v>0.14468855043375314</c:v>
                </c:pt>
                <c:pt idx="74">
                  <c:v>0.13247967458475451</c:v>
                </c:pt>
                <c:pt idx="75">
                  <c:v>0.12085625567149952</c:v>
                </c:pt>
                <c:pt idx="76">
                  <c:v>0.10984841946507069</c:v>
                </c:pt>
                <c:pt idx="77">
                  <c:v>9.9477138792749234E-2</c:v>
                </c:pt>
                <c:pt idx="78">
                  <c:v>8.9754773141324795E-2</c:v>
                </c:pt>
                <c:pt idx="79">
                  <c:v>8.0685708523164132E-2</c:v>
                </c:pt>
                <c:pt idx="80">
                  <c:v>7.2267074782333185E-2</c:v>
                </c:pt>
                <c:pt idx="81">
                  <c:v>6.448951782093322E-2</c:v>
                </c:pt>
                <c:pt idx="82">
                  <c:v>5.7338005124813317E-2</c:v>
                </c:pt>
                <c:pt idx="83">
                  <c:v>5.0792644375804434E-2</c:v>
                </c:pt>
                <c:pt idx="84">
                  <c:v>4.482949675859306E-2</c:v>
                </c:pt>
                <c:pt idx="85">
                  <c:v>3.9421368704028605E-2</c:v>
                </c:pt>
                <c:pt idx="86">
                  <c:v>3.4538568156730849E-2</c:v>
                </c:pt>
                <c:pt idx="87">
                  <c:v>3.0149613916800919E-2</c:v>
                </c:pt>
                <c:pt idx="88">
                  <c:v>2.6221889093709726E-2</c:v>
                </c:pt>
                <c:pt idx="89">
                  <c:v>2.2722232145095646E-2</c:v>
                </c:pt>
                <c:pt idx="90">
                  <c:v>1.9617461285747598E-2</c:v>
                </c:pt>
                <c:pt idx="91">
                  <c:v>1.6874830186622419E-2</c:v>
                </c:pt>
                <c:pt idx="92">
                  <c:v>1.4462414797634339E-2</c:v>
                </c:pt>
                <c:pt idx="93">
                  <c:v>1.2349432791521248E-2</c:v>
                </c:pt>
                <c:pt idx="94">
                  <c:v>1.0506498522150324E-2</c:v>
                </c:pt>
                <c:pt idx="95">
                  <c:v>8.9058175134161446E-3</c:v>
                </c:pt>
                <c:pt idx="96">
                  <c:v>7.5213253487094126E-3</c:v>
                </c:pt>
                <c:pt idx="97">
                  <c:v>6.3287764285828458E-3</c:v>
                </c:pt>
                <c:pt idx="98">
                  <c:v>5.3057884252876728E-3</c:v>
                </c:pt>
                <c:pt idx="99">
                  <c:v>4.4318484119380665E-3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2F-46CB-8B6A-9FF12384C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46264"/>
        <c:axId val="258746656"/>
      </c:scatterChart>
      <c:valAx>
        <c:axId val="25874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8746656"/>
        <c:crosses val="autoZero"/>
        <c:crossBetween val="midCat"/>
      </c:valAx>
      <c:valAx>
        <c:axId val="258746656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low"/>
        <c:spPr>
          <a:noFill/>
        </c:spPr>
        <c:crossAx val="258746264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05"/>
          <c:h val="0.77939561608853625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[0]!Norm_X</c:f>
              <c:numCache>
                <c:formatCode>0.000</c:formatCode>
                <c:ptCount val="100"/>
                <c:pt idx="0">
                  <c:v>-3</c:v>
                </c:pt>
                <c:pt idx="1">
                  <c:v>-2.9393939393939394</c:v>
                </c:pt>
                <c:pt idx="2">
                  <c:v>-2.8787878787878789</c:v>
                </c:pt>
                <c:pt idx="3">
                  <c:v>-2.8181818181818183</c:v>
                </c:pt>
                <c:pt idx="4">
                  <c:v>-2.7575757575757578</c:v>
                </c:pt>
                <c:pt idx="5">
                  <c:v>-2.6969696969696972</c:v>
                </c:pt>
                <c:pt idx="6">
                  <c:v>-2.6363636363636367</c:v>
                </c:pt>
                <c:pt idx="7">
                  <c:v>-2.5757575757575761</c:v>
                </c:pt>
                <c:pt idx="8">
                  <c:v>-2.5151515151515156</c:v>
                </c:pt>
                <c:pt idx="9">
                  <c:v>-2.454545454545455</c:v>
                </c:pt>
                <c:pt idx="10">
                  <c:v>-2.3939393939393945</c:v>
                </c:pt>
                <c:pt idx="11">
                  <c:v>-2.3333333333333339</c:v>
                </c:pt>
                <c:pt idx="12">
                  <c:v>-2.2727272727272734</c:v>
                </c:pt>
                <c:pt idx="13">
                  <c:v>-2.2121212121212128</c:v>
                </c:pt>
                <c:pt idx="14">
                  <c:v>-2.1515151515151523</c:v>
                </c:pt>
                <c:pt idx="15">
                  <c:v>-2.0909090909090917</c:v>
                </c:pt>
                <c:pt idx="16">
                  <c:v>-2.0303030303030312</c:v>
                </c:pt>
                <c:pt idx="17">
                  <c:v>-1.9696969696969706</c:v>
                </c:pt>
                <c:pt idx="18">
                  <c:v>-1.9090909090909101</c:v>
                </c:pt>
                <c:pt idx="19">
                  <c:v>-1.8484848484848495</c:v>
                </c:pt>
                <c:pt idx="20">
                  <c:v>-1.787878787878789</c:v>
                </c:pt>
                <c:pt idx="21">
                  <c:v>-1.7272727272727284</c:v>
                </c:pt>
                <c:pt idx="22">
                  <c:v>-1.6666666666666679</c:v>
                </c:pt>
                <c:pt idx="23">
                  <c:v>-1.6060606060606073</c:v>
                </c:pt>
                <c:pt idx="24">
                  <c:v>-1.5454545454545467</c:v>
                </c:pt>
                <c:pt idx="25">
                  <c:v>-1.4848484848484862</c:v>
                </c:pt>
                <c:pt idx="26">
                  <c:v>-1.4242424242424256</c:v>
                </c:pt>
                <c:pt idx="27">
                  <c:v>-1.3636363636363651</c:v>
                </c:pt>
                <c:pt idx="28">
                  <c:v>-1.3030303030303045</c:v>
                </c:pt>
                <c:pt idx="29">
                  <c:v>-1.242424242424244</c:v>
                </c:pt>
                <c:pt idx="30">
                  <c:v>-1.1818181818181834</c:v>
                </c:pt>
                <c:pt idx="31">
                  <c:v>-1.1212121212121229</c:v>
                </c:pt>
                <c:pt idx="32">
                  <c:v>-1.0606060606060623</c:v>
                </c:pt>
                <c:pt idx="33">
                  <c:v>-1.0000000000000018</c:v>
                </c:pt>
                <c:pt idx="34">
                  <c:v>-0.93939393939394122</c:v>
                </c:pt>
                <c:pt idx="35">
                  <c:v>-0.87878787878788067</c:v>
                </c:pt>
                <c:pt idx="36">
                  <c:v>-0.81818181818182012</c:v>
                </c:pt>
                <c:pt idx="37">
                  <c:v>-0.75757575757575957</c:v>
                </c:pt>
                <c:pt idx="38">
                  <c:v>-0.69696969696969902</c:v>
                </c:pt>
                <c:pt idx="39">
                  <c:v>-0.63636363636363846</c:v>
                </c:pt>
                <c:pt idx="40">
                  <c:v>-0.57575757575757791</c:v>
                </c:pt>
                <c:pt idx="41">
                  <c:v>-0.51515151515151736</c:v>
                </c:pt>
                <c:pt idx="42">
                  <c:v>-0.45454545454545675</c:v>
                </c:pt>
                <c:pt idx="43">
                  <c:v>-0.39393939393939614</c:v>
                </c:pt>
                <c:pt idx="44">
                  <c:v>-0.33333333333333554</c:v>
                </c:pt>
                <c:pt idx="45">
                  <c:v>-0.27272727272727493</c:v>
                </c:pt>
                <c:pt idx="46">
                  <c:v>-0.21212121212121432</c:v>
                </c:pt>
                <c:pt idx="47">
                  <c:v>-0.15151515151515371</c:v>
                </c:pt>
                <c:pt idx="48">
                  <c:v>-9.0909090909093104E-2</c:v>
                </c:pt>
                <c:pt idx="49">
                  <c:v>-3.0303030303032497E-2</c:v>
                </c:pt>
                <c:pt idx="50">
                  <c:v>3.0303030303028111E-2</c:v>
                </c:pt>
                <c:pt idx="51">
                  <c:v>9.0909090909088719E-2</c:v>
                </c:pt>
                <c:pt idx="52">
                  <c:v>0.15151515151514933</c:v>
                </c:pt>
                <c:pt idx="53">
                  <c:v>0.21212121212120993</c:v>
                </c:pt>
                <c:pt idx="54">
                  <c:v>0.27272727272727054</c:v>
                </c:pt>
                <c:pt idx="55">
                  <c:v>0.33333333333333115</c:v>
                </c:pt>
                <c:pt idx="56">
                  <c:v>0.39393939393939176</c:v>
                </c:pt>
                <c:pt idx="57">
                  <c:v>0.45454545454545237</c:v>
                </c:pt>
                <c:pt idx="58">
                  <c:v>0.51515151515151292</c:v>
                </c:pt>
                <c:pt idx="59">
                  <c:v>0.57575757575757347</c:v>
                </c:pt>
                <c:pt idx="60">
                  <c:v>0.63636363636363402</c:v>
                </c:pt>
                <c:pt idx="61">
                  <c:v>0.69696969696969457</c:v>
                </c:pt>
                <c:pt idx="62">
                  <c:v>0.75757575757575513</c:v>
                </c:pt>
                <c:pt idx="63">
                  <c:v>0.81818181818181568</c:v>
                </c:pt>
                <c:pt idx="64">
                  <c:v>0.87878787878787623</c:v>
                </c:pt>
                <c:pt idx="65">
                  <c:v>0.93939393939393678</c:v>
                </c:pt>
                <c:pt idx="66">
                  <c:v>0.99999999999999734</c:v>
                </c:pt>
                <c:pt idx="67">
                  <c:v>1.0606060606060579</c:v>
                </c:pt>
                <c:pt idx="68">
                  <c:v>1.1212121212121184</c:v>
                </c:pt>
                <c:pt idx="69">
                  <c:v>1.181818181818179</c:v>
                </c:pt>
                <c:pt idx="70">
                  <c:v>1.2424242424242395</c:v>
                </c:pt>
                <c:pt idx="71">
                  <c:v>1.3030303030303001</c:v>
                </c:pt>
                <c:pt idx="72">
                  <c:v>1.3636363636363606</c:v>
                </c:pt>
                <c:pt idx="73">
                  <c:v>1.4242424242424212</c:v>
                </c:pt>
                <c:pt idx="74">
                  <c:v>1.4848484848484818</c:v>
                </c:pt>
                <c:pt idx="75">
                  <c:v>1.5454545454545423</c:v>
                </c:pt>
                <c:pt idx="76">
                  <c:v>1.6060606060606029</c:v>
                </c:pt>
                <c:pt idx="77">
                  <c:v>1.6666666666666634</c:v>
                </c:pt>
                <c:pt idx="78">
                  <c:v>1.727272727272724</c:v>
                </c:pt>
                <c:pt idx="79">
                  <c:v>1.7878787878787845</c:v>
                </c:pt>
                <c:pt idx="80">
                  <c:v>1.8484848484848451</c:v>
                </c:pt>
                <c:pt idx="81">
                  <c:v>1.9090909090909056</c:v>
                </c:pt>
                <c:pt idx="82">
                  <c:v>1.9696969696969662</c:v>
                </c:pt>
                <c:pt idx="83">
                  <c:v>2.0303030303030267</c:v>
                </c:pt>
                <c:pt idx="84">
                  <c:v>2.0909090909090873</c:v>
                </c:pt>
                <c:pt idx="85">
                  <c:v>2.1515151515151478</c:v>
                </c:pt>
                <c:pt idx="86">
                  <c:v>2.2121212121212084</c:v>
                </c:pt>
                <c:pt idx="87">
                  <c:v>2.2727272727272689</c:v>
                </c:pt>
                <c:pt idx="88">
                  <c:v>2.3333333333333295</c:v>
                </c:pt>
                <c:pt idx="89">
                  <c:v>2.39393939393939</c:v>
                </c:pt>
                <c:pt idx="90">
                  <c:v>2.4545454545454506</c:v>
                </c:pt>
                <c:pt idx="91">
                  <c:v>2.5151515151515111</c:v>
                </c:pt>
                <c:pt idx="92">
                  <c:v>2.5757575757575717</c:v>
                </c:pt>
                <c:pt idx="93">
                  <c:v>2.6363636363636322</c:v>
                </c:pt>
                <c:pt idx="94">
                  <c:v>2.6969696969696928</c:v>
                </c:pt>
                <c:pt idx="95">
                  <c:v>2.7575757575757534</c:v>
                </c:pt>
                <c:pt idx="96">
                  <c:v>2.8181818181818139</c:v>
                </c:pt>
                <c:pt idx="97">
                  <c:v>2.8787878787878745</c:v>
                </c:pt>
                <c:pt idx="98">
                  <c:v>2.939393939393935</c:v>
                </c:pt>
                <c:pt idx="99">
                  <c:v>2.9999999999999956</c:v>
                </c:pt>
              </c:numCache>
            </c:numRef>
          </c:xVal>
          <c:yVal>
            <c:numRef>
              <c:f>Calc_Area!$H$6:$H$105</c:f>
              <c:numCache>
                <c:formatCode>General</c:formatCode>
                <c:ptCount val="100"/>
                <c:pt idx="0">
                  <c:v>1.3498980316300933E-3</c:v>
                </c:pt>
                <c:pt idx="1">
                  <c:v>1.6442740007662855E-3</c:v>
                </c:pt>
                <c:pt idx="2">
                  <c:v>1.9960337285582514E-3</c:v>
                </c:pt>
                <c:pt idx="3">
                  <c:v>2.4148226279699665E-3</c:v>
                </c:pt>
                <c:pt idx="4">
                  <c:v>2.9115859119061113E-3</c:v>
                </c:pt>
                <c:pt idx="5">
                  <c:v>3.4986818829475623E-3</c:v>
                </c:pt>
                <c:pt idx="6">
                  <c:v>4.1899937205068204E-3</c:v>
                </c:pt>
                <c:pt idx="7">
                  <c:v>5.0010372612480413E-3</c:v>
                </c:pt>
                <c:pt idx="8">
                  <c:v>5.9490619098435142E-3</c:v>
                </c:pt>
                <c:pt idx="9">
                  <c:v>7.0531414736897582E-3</c:v>
                </c:pt>
                <c:pt idx="10">
                  <c:v>8.334251400695665E-3</c:v>
                </c:pt>
                <c:pt idx="11">
                  <c:v>9.8153286286453215E-3</c:v>
                </c:pt>
                <c:pt idx="12">
                  <c:v>1.1521310043880902E-2</c:v>
                </c:pt>
                <c:pt idx="13">
                  <c:v>1.3479145412625045E-2</c:v>
                </c:pt>
                <c:pt idx="14">
                  <c:v>1.5717780606608441E-2</c:v>
                </c:pt>
                <c:pt idx="15">
                  <c:v>1.8268107011540611E-2</c:v>
                </c:pt>
                <c:pt idx="16">
                  <c:v>2.116287319669611E-2</c:v>
                </c:pt>
                <c:pt idx="17">
                  <c:v>2.4436555248634168E-2</c:v>
                </c:pt>
                <c:pt idx="18">
                  <c:v>2.8125182640983355E-2</c:v>
                </c:pt>
                <c:pt idx="19">
                  <c:v>3.2266117130694411E-2</c:v>
                </c:pt>
                <c:pt idx="20">
                  <c:v>3.6897782940069825E-2</c:v>
                </c:pt>
                <c:pt idx="21">
                  <c:v>4.2059347398956684E-2</c:v>
                </c:pt>
                <c:pt idx="22">
                  <c:v>4.7790352272814585E-2</c:v>
                </c:pt>
                <c:pt idx="23">
                  <c:v>5.4130297174047132E-2</c:v>
                </c:pt>
                <c:pt idx="24">
                  <c:v>6.1118177724005691E-2</c:v>
                </c:pt>
                <c:pt idx="25">
                  <c:v>6.8791982473473082E-2</c:v>
                </c:pt>
                <c:pt idx="26">
                  <c:v>7.7188153966660872E-2</c:v>
                </c:pt>
                <c:pt idx="27">
                  <c:v>8.6341020709373967E-2</c:v>
                </c:pt>
                <c:pt idx="28">
                  <c:v>9.628220813361929E-2</c:v>
                </c:pt>
                <c:pt idx="29">
                  <c:v>0.10704003789347616</c:v>
                </c:pt>
                <c:pt idx="30">
                  <c:v>0.1186389259341388</c:v>
                </c:pt>
                <c:pt idx="31">
                  <c:v>0.13109879070172942</c:v>
                </c:pt>
                <c:pt idx="32">
                  <c:v>0.14443448356198216</c:v>
                </c:pt>
                <c:pt idx="33">
                  <c:v>0.1586552539314566</c:v>
                </c:pt>
                <c:pt idx="34">
                  <c:v>0.17376426176168647</c:v>
                </c:pt>
                <c:pt idx="35">
                  <c:v>0.18975814982832434</c:v>
                </c:pt>
                <c:pt idx="36">
                  <c:v>0.20662668774681964</c:v>
                </c:pt>
                <c:pt idx="37">
                  <c:v>0.22435249875681706</c:v>
                </c:pt>
                <c:pt idx="38">
                  <c:v>0.24291087909404363</c:v>
                </c:pt>
                <c:pt idx="39">
                  <c:v>0.26226971821765577</c:v>
                </c:pt>
                <c:pt idx="40">
                  <c:v>0.28238952631152359</c:v>
                </c:pt>
                <c:pt idx="41">
                  <c:v>0.30322357337000977</c:v>
                </c:pt>
                <c:pt idx="42">
                  <c:v>0.3247181418633765</c:v>
                </c:pt>
                <c:pt idx="43">
                  <c:v>0.34681289251520725</c:v>
                </c:pt>
                <c:pt idx="44">
                  <c:v>0.36944134018176278</c:v>
                </c:pt>
                <c:pt idx="45">
                  <c:v>0.39253143427377885</c:v>
                </c:pt>
                <c:pt idx="46">
                  <c:v>0.41600623568031947</c:v>
                </c:pt>
                <c:pt idx="47">
                  <c:v>0.43978467981733316</c:v>
                </c:pt>
                <c:pt idx="48">
                  <c:v>0.46378241330310471</c:v>
                </c:pt>
                <c:pt idx="49">
                  <c:v>0.48791268992585418</c:v>
                </c:pt>
                <c:pt idx="50">
                  <c:v>0.5120873100741441</c:v>
                </c:pt>
                <c:pt idx="51">
                  <c:v>0.53621758669689346</c:v>
                </c:pt>
                <c:pt idx="52">
                  <c:v>0.56021532018266507</c:v>
                </c:pt>
                <c:pt idx="53">
                  <c:v>0.58399376431967887</c:v>
                </c:pt>
                <c:pt idx="54">
                  <c:v>0.60746856572621954</c:v>
                </c:pt>
                <c:pt idx="55">
                  <c:v>0.63055865981823556</c:v>
                </c:pt>
                <c:pt idx="56">
                  <c:v>0.65318710748479114</c:v>
                </c:pt>
                <c:pt idx="57">
                  <c:v>0.67528185813662189</c:v>
                </c:pt>
                <c:pt idx="58">
                  <c:v>0.69677642662998873</c:v>
                </c:pt>
                <c:pt idx="59">
                  <c:v>0.71761047368847497</c:v>
                </c:pt>
                <c:pt idx="60">
                  <c:v>0.73773028178234279</c:v>
                </c:pt>
                <c:pt idx="61">
                  <c:v>0.75708912090595493</c:v>
                </c:pt>
                <c:pt idx="62">
                  <c:v>0.7756475012431816</c:v>
                </c:pt>
                <c:pt idx="63">
                  <c:v>0.79337331225317909</c:v>
                </c:pt>
                <c:pt idx="64">
                  <c:v>0.81024185017167449</c:v>
                </c:pt>
                <c:pt idx="65">
                  <c:v>0.82623573823831231</c:v>
                </c:pt>
                <c:pt idx="66">
                  <c:v>0.84134474606854226</c:v>
                </c:pt>
                <c:pt idx="67">
                  <c:v>0.85556551643801682</c:v>
                </c:pt>
                <c:pt idx="68">
                  <c:v>0.86890120929826953</c:v>
                </c:pt>
                <c:pt idx="69">
                  <c:v>0.88136107406586039</c:v>
                </c:pt>
                <c:pt idx="70">
                  <c:v>0.89295996210652295</c:v>
                </c:pt>
                <c:pt idx="71">
                  <c:v>0.9037177918663799</c:v>
                </c:pt>
                <c:pt idx="72">
                  <c:v>0.91365897929062534</c:v>
                </c:pt>
                <c:pt idx="73">
                  <c:v>0.92281184603333855</c:v>
                </c:pt>
                <c:pt idx="74">
                  <c:v>0.93120801752652638</c:v>
                </c:pt>
                <c:pt idx="75">
                  <c:v>0.9388818222759937</c:v>
                </c:pt>
                <c:pt idx="76">
                  <c:v>0.9458697028259524</c:v>
                </c:pt>
                <c:pt idx="77">
                  <c:v>0.95220964772718497</c:v>
                </c:pt>
                <c:pt idx="78">
                  <c:v>0.95794065260104289</c:v>
                </c:pt>
                <c:pt idx="79">
                  <c:v>0.96310221705992982</c:v>
                </c:pt>
                <c:pt idx="80">
                  <c:v>0.96773388286930528</c:v>
                </c:pt>
                <c:pt idx="81">
                  <c:v>0.97187481735901637</c:v>
                </c:pt>
                <c:pt idx="82">
                  <c:v>0.97556344475136558</c:v>
                </c:pt>
                <c:pt idx="83">
                  <c:v>0.97883712680330359</c:v>
                </c:pt>
                <c:pt idx="84">
                  <c:v>0.9817318929884592</c:v>
                </c:pt>
                <c:pt idx="85">
                  <c:v>0.98428221939339133</c:v>
                </c:pt>
                <c:pt idx="86">
                  <c:v>0.98652085458737482</c:v>
                </c:pt>
                <c:pt idx="87">
                  <c:v>0.98847868995611898</c:v>
                </c:pt>
                <c:pt idx="88">
                  <c:v>0.99018467137135457</c:v>
                </c:pt>
                <c:pt idx="89">
                  <c:v>0.99166574859930423</c:v>
                </c:pt>
                <c:pt idx="90">
                  <c:v>0.99294685852631015</c:v>
                </c:pt>
                <c:pt idx="91">
                  <c:v>0.99405093809015643</c:v>
                </c:pt>
                <c:pt idx="92">
                  <c:v>0.99499896273875188</c:v>
                </c:pt>
                <c:pt idx="93">
                  <c:v>0.99581000627949312</c:v>
                </c:pt>
                <c:pt idx="94">
                  <c:v>0.99650131811705234</c:v>
                </c:pt>
                <c:pt idx="95">
                  <c:v>0.9970884140880939</c:v>
                </c:pt>
                <c:pt idx="96">
                  <c:v>0.99758517737203001</c:v>
                </c:pt>
                <c:pt idx="97">
                  <c:v>0.99800396627144172</c:v>
                </c:pt>
                <c:pt idx="98">
                  <c:v>0.99835572599923372</c:v>
                </c:pt>
                <c:pt idx="99">
                  <c:v>0.9986501019683699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61-4607-9A89-60A0791650DC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[0]!Norm_X</c:f>
              <c:numCache>
                <c:formatCode>0.000</c:formatCode>
                <c:ptCount val="100"/>
                <c:pt idx="0">
                  <c:v>-3</c:v>
                </c:pt>
                <c:pt idx="1">
                  <c:v>-2.9393939393939394</c:v>
                </c:pt>
                <c:pt idx="2">
                  <c:v>-2.8787878787878789</c:v>
                </c:pt>
                <c:pt idx="3">
                  <c:v>-2.8181818181818183</c:v>
                </c:pt>
                <c:pt idx="4">
                  <c:v>-2.7575757575757578</c:v>
                </c:pt>
                <c:pt idx="5">
                  <c:v>-2.6969696969696972</c:v>
                </c:pt>
                <c:pt idx="6">
                  <c:v>-2.6363636363636367</c:v>
                </c:pt>
                <c:pt idx="7">
                  <c:v>-2.5757575757575761</c:v>
                </c:pt>
                <c:pt idx="8">
                  <c:v>-2.5151515151515156</c:v>
                </c:pt>
                <c:pt idx="9">
                  <c:v>-2.454545454545455</c:v>
                </c:pt>
                <c:pt idx="10">
                  <c:v>-2.3939393939393945</c:v>
                </c:pt>
                <c:pt idx="11">
                  <c:v>-2.3333333333333339</c:v>
                </c:pt>
                <c:pt idx="12">
                  <c:v>-2.2727272727272734</c:v>
                </c:pt>
                <c:pt idx="13">
                  <c:v>-2.2121212121212128</c:v>
                </c:pt>
                <c:pt idx="14">
                  <c:v>-2.1515151515151523</c:v>
                </c:pt>
                <c:pt idx="15">
                  <c:v>-2.0909090909090917</c:v>
                </c:pt>
                <c:pt idx="16">
                  <c:v>-2.0303030303030312</c:v>
                </c:pt>
                <c:pt idx="17">
                  <c:v>-1.9696969696969706</c:v>
                </c:pt>
                <c:pt idx="18">
                  <c:v>-1.9090909090909101</c:v>
                </c:pt>
                <c:pt idx="19">
                  <c:v>-1.8484848484848495</c:v>
                </c:pt>
                <c:pt idx="20">
                  <c:v>-1.787878787878789</c:v>
                </c:pt>
                <c:pt idx="21">
                  <c:v>-1.7272727272727284</c:v>
                </c:pt>
                <c:pt idx="22">
                  <c:v>-1.6666666666666679</c:v>
                </c:pt>
                <c:pt idx="23">
                  <c:v>-1.6060606060606073</c:v>
                </c:pt>
                <c:pt idx="24">
                  <c:v>-1.5454545454545467</c:v>
                </c:pt>
                <c:pt idx="25">
                  <c:v>-1.4848484848484862</c:v>
                </c:pt>
                <c:pt idx="26">
                  <c:v>-1.4242424242424256</c:v>
                </c:pt>
                <c:pt idx="27">
                  <c:v>-1.3636363636363651</c:v>
                </c:pt>
                <c:pt idx="28">
                  <c:v>-1.3030303030303045</c:v>
                </c:pt>
                <c:pt idx="29">
                  <c:v>-1.242424242424244</c:v>
                </c:pt>
                <c:pt idx="30">
                  <c:v>-1.1818181818181834</c:v>
                </c:pt>
                <c:pt idx="31">
                  <c:v>-1.1212121212121229</c:v>
                </c:pt>
                <c:pt idx="32">
                  <c:v>-1.0606060606060623</c:v>
                </c:pt>
                <c:pt idx="33">
                  <c:v>-1.0000000000000018</c:v>
                </c:pt>
                <c:pt idx="34">
                  <c:v>-0.93939393939394122</c:v>
                </c:pt>
                <c:pt idx="35">
                  <c:v>-0.87878787878788067</c:v>
                </c:pt>
                <c:pt idx="36">
                  <c:v>-0.81818181818182012</c:v>
                </c:pt>
                <c:pt idx="37">
                  <c:v>-0.75757575757575957</c:v>
                </c:pt>
                <c:pt idx="38">
                  <c:v>-0.69696969696969902</c:v>
                </c:pt>
                <c:pt idx="39">
                  <c:v>-0.63636363636363846</c:v>
                </c:pt>
                <c:pt idx="40">
                  <c:v>-0.57575757575757791</c:v>
                </c:pt>
                <c:pt idx="41">
                  <c:v>-0.51515151515151736</c:v>
                </c:pt>
                <c:pt idx="42">
                  <c:v>-0.45454545454545675</c:v>
                </c:pt>
                <c:pt idx="43">
                  <c:v>-0.39393939393939614</c:v>
                </c:pt>
                <c:pt idx="44">
                  <c:v>-0.33333333333333554</c:v>
                </c:pt>
                <c:pt idx="45">
                  <c:v>-0.27272727272727493</c:v>
                </c:pt>
                <c:pt idx="46">
                  <c:v>-0.21212121212121432</c:v>
                </c:pt>
                <c:pt idx="47">
                  <c:v>-0.15151515151515371</c:v>
                </c:pt>
                <c:pt idx="48">
                  <c:v>-9.0909090909093104E-2</c:v>
                </c:pt>
                <c:pt idx="49">
                  <c:v>-3.0303030303032497E-2</c:v>
                </c:pt>
                <c:pt idx="50">
                  <c:v>3.0303030303028111E-2</c:v>
                </c:pt>
                <c:pt idx="51">
                  <c:v>9.0909090909088719E-2</c:v>
                </c:pt>
                <c:pt idx="52">
                  <c:v>0.15151515151514933</c:v>
                </c:pt>
                <c:pt idx="53">
                  <c:v>0.21212121212120993</c:v>
                </c:pt>
                <c:pt idx="54">
                  <c:v>0.27272727272727054</c:v>
                </c:pt>
                <c:pt idx="55">
                  <c:v>0.33333333333333115</c:v>
                </c:pt>
                <c:pt idx="56">
                  <c:v>0.39393939393939176</c:v>
                </c:pt>
                <c:pt idx="57">
                  <c:v>0.45454545454545237</c:v>
                </c:pt>
                <c:pt idx="58">
                  <c:v>0.51515151515151292</c:v>
                </c:pt>
                <c:pt idx="59">
                  <c:v>0.57575757575757347</c:v>
                </c:pt>
                <c:pt idx="60">
                  <c:v>0.63636363636363402</c:v>
                </c:pt>
                <c:pt idx="61">
                  <c:v>0.69696969696969457</c:v>
                </c:pt>
                <c:pt idx="62">
                  <c:v>0.75757575757575513</c:v>
                </c:pt>
                <c:pt idx="63">
                  <c:v>0.81818181818181568</c:v>
                </c:pt>
                <c:pt idx="64">
                  <c:v>0.87878787878787623</c:v>
                </c:pt>
                <c:pt idx="65">
                  <c:v>0.93939393939393678</c:v>
                </c:pt>
                <c:pt idx="66">
                  <c:v>0.99999999999999734</c:v>
                </c:pt>
                <c:pt idx="67">
                  <c:v>1.0606060606060579</c:v>
                </c:pt>
                <c:pt idx="68">
                  <c:v>1.1212121212121184</c:v>
                </c:pt>
                <c:pt idx="69">
                  <c:v>1.181818181818179</c:v>
                </c:pt>
                <c:pt idx="70">
                  <c:v>1.2424242424242395</c:v>
                </c:pt>
                <c:pt idx="71">
                  <c:v>1.3030303030303001</c:v>
                </c:pt>
                <c:pt idx="72">
                  <c:v>1.3636363636363606</c:v>
                </c:pt>
                <c:pt idx="73">
                  <c:v>1.4242424242424212</c:v>
                </c:pt>
                <c:pt idx="74">
                  <c:v>1.4848484848484818</c:v>
                </c:pt>
                <c:pt idx="75">
                  <c:v>1.5454545454545423</c:v>
                </c:pt>
                <c:pt idx="76">
                  <c:v>1.6060606060606029</c:v>
                </c:pt>
                <c:pt idx="77">
                  <c:v>1.6666666666666634</c:v>
                </c:pt>
                <c:pt idx="78">
                  <c:v>1.727272727272724</c:v>
                </c:pt>
                <c:pt idx="79">
                  <c:v>1.7878787878787845</c:v>
                </c:pt>
                <c:pt idx="80">
                  <c:v>1.8484848484848451</c:v>
                </c:pt>
                <c:pt idx="81">
                  <c:v>1.9090909090909056</c:v>
                </c:pt>
                <c:pt idx="82">
                  <c:v>1.9696969696969662</c:v>
                </c:pt>
                <c:pt idx="83">
                  <c:v>2.0303030303030267</c:v>
                </c:pt>
                <c:pt idx="84">
                  <c:v>2.0909090909090873</c:v>
                </c:pt>
                <c:pt idx="85">
                  <c:v>2.1515151515151478</c:v>
                </c:pt>
                <c:pt idx="86">
                  <c:v>2.2121212121212084</c:v>
                </c:pt>
                <c:pt idx="87">
                  <c:v>2.2727272727272689</c:v>
                </c:pt>
                <c:pt idx="88">
                  <c:v>2.3333333333333295</c:v>
                </c:pt>
                <c:pt idx="89">
                  <c:v>2.39393939393939</c:v>
                </c:pt>
                <c:pt idx="90">
                  <c:v>2.4545454545454506</c:v>
                </c:pt>
                <c:pt idx="91">
                  <c:v>2.5151515151515111</c:v>
                </c:pt>
                <c:pt idx="92">
                  <c:v>2.5757575757575717</c:v>
                </c:pt>
                <c:pt idx="93">
                  <c:v>2.6363636363636322</c:v>
                </c:pt>
                <c:pt idx="94">
                  <c:v>2.6969696969696928</c:v>
                </c:pt>
                <c:pt idx="95">
                  <c:v>2.7575757575757534</c:v>
                </c:pt>
                <c:pt idx="96">
                  <c:v>2.8181818181818139</c:v>
                </c:pt>
                <c:pt idx="97">
                  <c:v>2.8787878787878745</c:v>
                </c:pt>
                <c:pt idx="98">
                  <c:v>2.939393939393935</c:v>
                </c:pt>
                <c:pt idx="99">
                  <c:v>2.9999999999999956</c:v>
                </c:pt>
              </c:numCache>
            </c:numRef>
          </c:xVal>
          <c:yVal>
            <c:numRef>
              <c:f>Calc_Area!$I$6:$I$105</c:f>
              <c:numCache>
                <c:formatCode>General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0.1586552539314566</c:v>
                </c:pt>
                <c:pt idx="34">
                  <c:v>0.17376426176168647</c:v>
                </c:pt>
                <c:pt idx="35">
                  <c:v>0.18975814982832434</c:v>
                </c:pt>
                <c:pt idx="36">
                  <c:v>0.20662668774681964</c:v>
                </c:pt>
                <c:pt idx="37">
                  <c:v>0.22435249875681706</c:v>
                </c:pt>
                <c:pt idx="38">
                  <c:v>0.24291087909404363</c:v>
                </c:pt>
                <c:pt idx="39">
                  <c:v>0.26226971821765577</c:v>
                </c:pt>
                <c:pt idx="40">
                  <c:v>0.28238952631152359</c:v>
                </c:pt>
                <c:pt idx="41">
                  <c:v>0.30322357337000977</c:v>
                </c:pt>
                <c:pt idx="42">
                  <c:v>0.3247181418633765</c:v>
                </c:pt>
                <c:pt idx="43">
                  <c:v>0.34681289251520725</c:v>
                </c:pt>
                <c:pt idx="44">
                  <c:v>0.36944134018176278</c:v>
                </c:pt>
                <c:pt idx="45">
                  <c:v>0.39253143427377885</c:v>
                </c:pt>
                <c:pt idx="46">
                  <c:v>0.41600623568031947</c:v>
                </c:pt>
                <c:pt idx="47">
                  <c:v>0.43978467981733316</c:v>
                </c:pt>
                <c:pt idx="48">
                  <c:v>0.46378241330310471</c:v>
                </c:pt>
                <c:pt idx="49">
                  <c:v>0.48791268992585418</c:v>
                </c:pt>
                <c:pt idx="50">
                  <c:v>0.5120873100741441</c:v>
                </c:pt>
                <c:pt idx="51">
                  <c:v>0.53621758669689346</c:v>
                </c:pt>
                <c:pt idx="52">
                  <c:v>0.56021532018266507</c:v>
                </c:pt>
                <c:pt idx="53">
                  <c:v>0.58399376431967887</c:v>
                </c:pt>
                <c:pt idx="54">
                  <c:v>0.60746856572621954</c:v>
                </c:pt>
                <c:pt idx="55">
                  <c:v>0.63055865981823556</c:v>
                </c:pt>
                <c:pt idx="56">
                  <c:v>0.65318710748479114</c:v>
                </c:pt>
                <c:pt idx="57">
                  <c:v>0.67528185813662189</c:v>
                </c:pt>
                <c:pt idx="58">
                  <c:v>0.69677642662998873</c:v>
                </c:pt>
                <c:pt idx="59">
                  <c:v>0.71761047368847497</c:v>
                </c:pt>
                <c:pt idx="60">
                  <c:v>0.73773028178234279</c:v>
                </c:pt>
                <c:pt idx="61">
                  <c:v>0.75708912090595493</c:v>
                </c:pt>
                <c:pt idx="62">
                  <c:v>0.7756475012431816</c:v>
                </c:pt>
                <c:pt idx="63">
                  <c:v>0.79337331225317909</c:v>
                </c:pt>
                <c:pt idx="64">
                  <c:v>0.81024185017167449</c:v>
                </c:pt>
                <c:pt idx="65">
                  <c:v>0.82623573823831231</c:v>
                </c:pt>
                <c:pt idx="66">
                  <c:v>0.84134474606854226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1-4607-9A89-60A079165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47440"/>
        <c:axId val="258747832"/>
      </c:scatterChart>
      <c:valAx>
        <c:axId val="25874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8747832"/>
        <c:crosses val="autoZero"/>
        <c:crossBetween val="midCat"/>
      </c:valAx>
      <c:valAx>
        <c:axId val="258747832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low"/>
        <c:spPr>
          <a:noFill/>
        </c:spPr>
        <c:crossAx val="258747440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Calc_Area!$P$10:$P$16</c:f>
              <c:strCache>
                <c:ptCount val="7"/>
                <c:pt idx="0">
                  <c:v>-3.4</c:v>
                </c:pt>
                <c:pt idx="3">
                  <c:v>-0.8</c:v>
                </c:pt>
                <c:pt idx="6">
                  <c:v>2.7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Calc_Area!$P$10:$P$16</c:f>
              <c:numCache>
                <c:formatCode>General</c:formatCode>
                <c:ptCount val="7"/>
                <c:pt idx="0" formatCode="0.0">
                  <c:v>-3.4119711731105986</c:v>
                </c:pt>
                <c:pt idx="3" formatCode="0.0">
                  <c:v>-0.78108293633705428</c:v>
                </c:pt>
                <c:pt idx="6" formatCode="0.0">
                  <c:v>2.7267680460276709</c:v>
                </c:pt>
              </c:numCache>
            </c:numRef>
          </c:cat>
          <c:val>
            <c:numRef>
              <c:f>Calc_Area!$N$10:$N$16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16</c:v>
                </c:pt>
                <c:pt idx="3">
                  <c:v>36</c:v>
                </c:pt>
                <c:pt idx="4">
                  <c:v>33</c:v>
                </c:pt>
                <c:pt idx="5">
                  <c:v>8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2D-4F70-B7AD-E04AEF125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9323392"/>
        <c:axId val="259323784"/>
      </c:barChart>
      <c:catAx>
        <c:axId val="25932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9323784"/>
        <c:crosses val="autoZero"/>
        <c:auto val="0"/>
        <c:lblAlgn val="ctr"/>
        <c:lblOffset val="100"/>
        <c:tickMarkSkip val="6"/>
        <c:noMultiLvlLbl val="0"/>
      </c:catAx>
      <c:valAx>
        <c:axId val="259323784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9323392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05"/>
          <c:h val="0.7793956160885362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  <a:prstDash val="sysDot"/>
              </a:ln>
            </c:spPr>
          </c:errBars>
          <c:xVal>
            <c:numRef>
              <c:f>Calc_Area!$E$312:$E$336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Calc_Area!$G$312:$G$336</c:f>
              <c:numCache>
                <c:formatCode>General</c:formatCode>
                <c:ptCount val="25"/>
                <c:pt idx="0">
                  <c:v>0.1353352832366127</c:v>
                </c:pt>
                <c:pt idx="1">
                  <c:v>0.1353352832366127</c:v>
                </c:pt>
                <c:pt idx="2">
                  <c:v>0.1353352832366127</c:v>
                </c:pt>
                <c:pt idx="3">
                  <c:v>0.1353352832366127</c:v>
                </c:pt>
                <c:pt idx="4">
                  <c:v>0.1353352832366127</c:v>
                </c:pt>
                <c:pt idx="5">
                  <c:v>0.27067056647322535</c:v>
                </c:pt>
                <c:pt idx="6">
                  <c:v>0.27067056647322535</c:v>
                </c:pt>
                <c:pt idx="7">
                  <c:v>0.27067056647322535</c:v>
                </c:pt>
                <c:pt idx="8">
                  <c:v>0.27067056647322535</c:v>
                </c:pt>
                <c:pt idx="9">
                  <c:v>0.27067056647322546</c:v>
                </c:pt>
                <c:pt idx="10">
                  <c:v>0.27067056647322546</c:v>
                </c:pt>
                <c:pt idx="11">
                  <c:v>0.27067056647322546</c:v>
                </c:pt>
                <c:pt idx="12">
                  <c:v>0.27067056647322546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F5-43EA-8832-2F9CFCA95B9D}"/>
            </c:ext>
          </c:extLst>
        </c:ser>
        <c:ser>
          <c:idx val="1"/>
          <c:order val="1"/>
          <c:spPr>
            <a:ln w="25400">
              <a:noFill/>
              <a:prstDash val="sysDot"/>
            </a:ln>
          </c:spPr>
          <c:marker>
            <c:symbol val="square"/>
            <c:size val="5"/>
          </c:marker>
          <c:errBars>
            <c:errDir val="y"/>
            <c:errBarType val="minus"/>
            <c:errValType val="percentage"/>
            <c:noEndCap val="0"/>
            <c:val val="100"/>
            <c:spPr>
              <a:ln w="19050">
                <a:solidFill>
                  <a:schemeClr val="accent2"/>
                </a:solidFill>
                <a:prstDash val="sysDot"/>
              </a:ln>
            </c:spPr>
          </c:errBars>
          <c:xVal>
            <c:numRef>
              <c:f>Calc_Area!$E$312:$E$336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Calc_Area!$F$312:$F$336</c:f>
              <c:numCache>
                <c:formatCode>General</c:formatCode>
                <c:ptCount val="25"/>
                <c:pt idx="0">
                  <c:v>0.1353352832366127</c:v>
                </c:pt>
                <c:pt idx="1">
                  <c:v>0.1353352832366127</c:v>
                </c:pt>
                <c:pt idx="2">
                  <c:v>0.1353352832366127</c:v>
                </c:pt>
                <c:pt idx="3">
                  <c:v>0.1353352832366127</c:v>
                </c:pt>
                <c:pt idx="4">
                  <c:v>0.1353352832366127</c:v>
                </c:pt>
                <c:pt idx="5">
                  <c:v>0.27067056647322535</c:v>
                </c:pt>
                <c:pt idx="6">
                  <c:v>0.27067056647322535</c:v>
                </c:pt>
                <c:pt idx="7">
                  <c:v>0.27067056647322535</c:v>
                </c:pt>
                <c:pt idx="8">
                  <c:v>0.27067056647322535</c:v>
                </c:pt>
                <c:pt idx="9">
                  <c:v>0.27067056647322546</c:v>
                </c:pt>
                <c:pt idx="10">
                  <c:v>0.27067056647322546</c:v>
                </c:pt>
                <c:pt idx="11">
                  <c:v>0.27067056647322546</c:v>
                </c:pt>
                <c:pt idx="12">
                  <c:v>0.27067056647322546</c:v>
                </c:pt>
                <c:pt idx="13">
                  <c:v>0.18044704431548364</c:v>
                </c:pt>
                <c:pt idx="14">
                  <c:v>0.18044704431548364</c:v>
                </c:pt>
                <c:pt idx="15">
                  <c:v>0.18044704431548364</c:v>
                </c:pt>
                <c:pt idx="16">
                  <c:v>0.18044704431548364</c:v>
                </c:pt>
                <c:pt idx="17">
                  <c:v>9.022352215774182E-2</c:v>
                </c:pt>
                <c:pt idx="18">
                  <c:v>9.022352215774182E-2</c:v>
                </c:pt>
                <c:pt idx="19">
                  <c:v>9.022352215774182E-2</c:v>
                </c:pt>
                <c:pt idx="20">
                  <c:v>9.022352215774182E-2</c:v>
                </c:pt>
                <c:pt idx="21">
                  <c:v>3.6089408863096716E-2</c:v>
                </c:pt>
                <c:pt idx="22">
                  <c:v>3.6089408863096716E-2</c:v>
                </c:pt>
                <c:pt idx="23">
                  <c:v>3.6089408863096716E-2</c:v>
                </c:pt>
                <c:pt idx="24">
                  <c:v>3.6089408863096716E-2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F5-43EA-8832-2F9CFCA95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324568"/>
        <c:axId val="259324960"/>
      </c:scatterChart>
      <c:valAx>
        <c:axId val="25932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General" sourceLinked="0"/>
        <c:majorTickMark val="cross"/>
        <c:minorTickMark val="in"/>
        <c:tickLblPos val="nextTo"/>
        <c:spPr>
          <a:noFill/>
        </c:spPr>
        <c:crossAx val="259324960"/>
        <c:crosses val="autoZero"/>
        <c:crossBetween val="midCat"/>
      </c:valAx>
      <c:valAx>
        <c:axId val="259324960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low"/>
        <c:spPr>
          <a:noFill/>
        </c:spPr>
        <c:crossAx val="259324568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38"/>
          <c:h val="0.77939561608853702"/>
        </c:manualLayout>
      </c:layout>
      <c:scatterChart>
        <c:scatterStyle val="smoothMarker"/>
        <c:varyColors val="0"/>
        <c:ser>
          <c:idx val="1"/>
          <c:order val="0"/>
          <c:spPr>
            <a:ln w="25400">
              <a:noFill/>
              <a:prstDash val="sysDot"/>
            </a:ln>
          </c:spPr>
          <c:marker>
            <c:symbol val="square"/>
            <c:size val="5"/>
          </c:marker>
          <c:errBars>
            <c:errDir val="y"/>
            <c:errBarType val="minus"/>
            <c:errValType val="percentage"/>
            <c:noEndCap val="0"/>
            <c:val val="100"/>
            <c:spPr>
              <a:ln w="19050">
                <a:solidFill>
                  <a:schemeClr val="accent2"/>
                </a:solidFill>
                <a:prstDash val="sysDot"/>
              </a:ln>
            </c:spPr>
          </c:errBars>
          <c:xVal>
            <c:numRef>
              <c:f>Calc_Area!$E$312:$E$336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Calc_Area!$H$312:$H$336</c:f>
              <c:numCache>
                <c:formatCode>General</c:formatCode>
                <c:ptCount val="25"/>
                <c:pt idx="0">
                  <c:v>0.1353352832366127</c:v>
                </c:pt>
                <c:pt idx="1">
                  <c:v>0.1353352832366127</c:v>
                </c:pt>
                <c:pt idx="2">
                  <c:v>0.1353352832366127</c:v>
                </c:pt>
                <c:pt idx="3">
                  <c:v>0.1353352832366127</c:v>
                </c:pt>
                <c:pt idx="4">
                  <c:v>0.1353352832366127</c:v>
                </c:pt>
                <c:pt idx="5">
                  <c:v>0.40600584970983811</c:v>
                </c:pt>
                <c:pt idx="6">
                  <c:v>0.40600584970983811</c:v>
                </c:pt>
                <c:pt idx="7">
                  <c:v>0.40600584970983811</c:v>
                </c:pt>
                <c:pt idx="8">
                  <c:v>0.40600584970983811</c:v>
                </c:pt>
                <c:pt idx="9">
                  <c:v>0.6766764161830634</c:v>
                </c:pt>
                <c:pt idx="10">
                  <c:v>0.6766764161830634</c:v>
                </c:pt>
                <c:pt idx="11">
                  <c:v>0.6766764161830634</c:v>
                </c:pt>
                <c:pt idx="12">
                  <c:v>0.6766764161830634</c:v>
                </c:pt>
                <c:pt idx="13">
                  <c:v>0.85712346049854693</c:v>
                </c:pt>
                <c:pt idx="14">
                  <c:v>0.85712346049854693</c:v>
                </c:pt>
                <c:pt idx="15">
                  <c:v>0.85712346049854693</c:v>
                </c:pt>
                <c:pt idx="16">
                  <c:v>0.85712346049854693</c:v>
                </c:pt>
                <c:pt idx="17">
                  <c:v>0.94734698265628881</c:v>
                </c:pt>
                <c:pt idx="18">
                  <c:v>0.94734698265628881</c:v>
                </c:pt>
                <c:pt idx="19">
                  <c:v>0.94734698265628881</c:v>
                </c:pt>
                <c:pt idx="20">
                  <c:v>0.94734698265628881</c:v>
                </c:pt>
                <c:pt idx="21">
                  <c:v>0.98343639151938556</c:v>
                </c:pt>
                <c:pt idx="22">
                  <c:v>0.98343639151938556</c:v>
                </c:pt>
                <c:pt idx="23">
                  <c:v>0.98343639151938556</c:v>
                </c:pt>
                <c:pt idx="24">
                  <c:v>0.98343639151938556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25-4DD0-A05D-EE4817F9BB8D}"/>
            </c:ext>
          </c:extLst>
        </c:ser>
        <c:ser>
          <c:idx val="0"/>
          <c:order val="1"/>
          <c:spPr>
            <a:ln w="76200">
              <a:noFill/>
              <a:prstDash val="sysDot"/>
            </a:ln>
          </c:spPr>
          <c:marker>
            <c:symbol val="none"/>
          </c:marker>
          <c:errBars>
            <c:errDir val="y"/>
            <c:errBarType val="minus"/>
            <c:errValType val="fixedVal"/>
            <c:noEndCap val="0"/>
            <c:val val="1"/>
            <c:spPr>
              <a:ln w="38100">
                <a:solidFill>
                  <a:srgbClr val="9BBB59">
                    <a:lumMod val="75000"/>
                  </a:srgbClr>
                </a:solidFill>
                <a:prstDash val="sysDot"/>
              </a:ln>
            </c:spPr>
          </c:errBars>
          <c:xVal>
            <c:numRef>
              <c:f>Calc_Area!$E$312:$E$336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Calc_Area!$I$312:$I$336</c:f>
              <c:numCache>
                <c:formatCode>General</c:formatCode>
                <c:ptCount val="25"/>
                <c:pt idx="0">
                  <c:v>0.1353352832366127</c:v>
                </c:pt>
                <c:pt idx="1">
                  <c:v>0.1353352832366127</c:v>
                </c:pt>
                <c:pt idx="2">
                  <c:v>0.1353352832366127</c:v>
                </c:pt>
                <c:pt idx="3">
                  <c:v>0.1353352832366127</c:v>
                </c:pt>
                <c:pt idx="4">
                  <c:v>0.1353352832366127</c:v>
                </c:pt>
                <c:pt idx="5">
                  <c:v>0.40600584970983811</c:v>
                </c:pt>
                <c:pt idx="6">
                  <c:v>0.40600584970983811</c:v>
                </c:pt>
                <c:pt idx="7">
                  <c:v>0.40600584970983811</c:v>
                </c:pt>
                <c:pt idx="8">
                  <c:v>0.40600584970983811</c:v>
                </c:pt>
                <c:pt idx="9">
                  <c:v>0.6766764161830634</c:v>
                </c:pt>
                <c:pt idx="10">
                  <c:v>0.6766764161830634</c:v>
                </c:pt>
                <c:pt idx="11">
                  <c:v>0.6766764161830634</c:v>
                </c:pt>
                <c:pt idx="12">
                  <c:v>0.6766764161830634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25-4DD0-A05D-EE4817F9B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325744"/>
        <c:axId val="259326136"/>
      </c:scatterChart>
      <c:valAx>
        <c:axId val="259325744"/>
        <c:scaling>
          <c:orientation val="minMax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9326136"/>
        <c:crosses val="autoZero"/>
        <c:crossBetween val="midCat"/>
        <c:minorUnit val="1"/>
      </c:valAx>
      <c:valAx>
        <c:axId val="259326136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low"/>
        <c:spPr>
          <a:noFill/>
        </c:spPr>
        <c:crossAx val="259325744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Informed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Informed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Calc_Area!$E$931:$E$1030</c:f>
              <c:numCache>
                <c:formatCode>0.0E+00</c:formatCode>
                <c:ptCount val="100"/>
                <c:pt idx="0">
                  <c:v>1.2505472170427321E-4</c:v>
                </c:pt>
                <c:pt idx="1">
                  <c:v>5.9652410030145101E-3</c:v>
                </c:pt>
                <c:pt idx="2">
                  <c:v>1.1805427284324748E-2</c:v>
                </c:pt>
                <c:pt idx="3">
                  <c:v>1.7645613565634984E-2</c:v>
                </c:pt>
                <c:pt idx="4">
                  <c:v>2.348579984694522E-2</c:v>
                </c:pt>
                <c:pt idx="5">
                  <c:v>2.9325986128255457E-2</c:v>
                </c:pt>
                <c:pt idx="6">
                  <c:v>3.5166172409565696E-2</c:v>
                </c:pt>
                <c:pt idx="7">
                  <c:v>4.1006358690875933E-2</c:v>
                </c:pt>
                <c:pt idx="8">
                  <c:v>4.6846544972186169E-2</c:v>
                </c:pt>
                <c:pt idx="9">
                  <c:v>5.2686731253496405E-2</c:v>
                </c:pt>
                <c:pt idx="10">
                  <c:v>5.8526917534806641E-2</c:v>
                </c:pt>
                <c:pt idx="11">
                  <c:v>6.4367103816116877E-2</c:v>
                </c:pt>
                <c:pt idx="12">
                  <c:v>7.0207290097427114E-2</c:v>
                </c:pt>
                <c:pt idx="13">
                  <c:v>7.604747637873735E-2</c:v>
                </c:pt>
                <c:pt idx="14">
                  <c:v>8.1887662660047586E-2</c:v>
                </c:pt>
                <c:pt idx="15">
                  <c:v>8.7727848941357822E-2</c:v>
                </c:pt>
                <c:pt idx="16">
                  <c:v>9.3568035222668058E-2</c:v>
                </c:pt>
                <c:pt idx="17">
                  <c:v>9.9408221503978295E-2</c:v>
                </c:pt>
                <c:pt idx="18">
                  <c:v>0.10524840778528853</c:v>
                </c:pt>
                <c:pt idx="19">
                  <c:v>0.11108859406659877</c:v>
                </c:pt>
                <c:pt idx="20">
                  <c:v>0.116928780347909</c:v>
                </c:pt>
                <c:pt idx="21">
                  <c:v>0.12276896662921924</c:v>
                </c:pt>
                <c:pt idx="22">
                  <c:v>0.12860915291052949</c:v>
                </c:pt>
                <c:pt idx="23">
                  <c:v>0.13444933919183974</c:v>
                </c:pt>
                <c:pt idx="24">
                  <c:v>0.14028952547314999</c:v>
                </c:pt>
                <c:pt idx="25">
                  <c:v>0.14612971175446024</c:v>
                </c:pt>
                <c:pt idx="26">
                  <c:v>0.15196989803577049</c:v>
                </c:pt>
                <c:pt idx="27">
                  <c:v>0.15781008431708074</c:v>
                </c:pt>
                <c:pt idx="28">
                  <c:v>0.16365027059839099</c:v>
                </c:pt>
                <c:pt idx="29">
                  <c:v>0.16949045687970124</c:v>
                </c:pt>
                <c:pt idx="30">
                  <c:v>0.17533064316101149</c:v>
                </c:pt>
                <c:pt idx="31">
                  <c:v>0.18117082944232174</c:v>
                </c:pt>
                <c:pt idx="32">
                  <c:v>0.18701101572363199</c:v>
                </c:pt>
                <c:pt idx="33">
                  <c:v>0.19285120200494224</c:v>
                </c:pt>
                <c:pt idx="34">
                  <c:v>0.19869138828625249</c:v>
                </c:pt>
                <c:pt idx="35">
                  <c:v>0.20453157456756274</c:v>
                </c:pt>
                <c:pt idx="36">
                  <c:v>0.21037176084887299</c:v>
                </c:pt>
                <c:pt idx="37">
                  <c:v>0.21621194713018324</c:v>
                </c:pt>
                <c:pt idx="38">
                  <c:v>0.22205213341149349</c:v>
                </c:pt>
                <c:pt idx="39">
                  <c:v>0.22789231969280374</c:v>
                </c:pt>
                <c:pt idx="40">
                  <c:v>0.23373250597411399</c:v>
                </c:pt>
                <c:pt idx="41">
                  <c:v>0.23957269225542424</c:v>
                </c:pt>
                <c:pt idx="42">
                  <c:v>0.24541287853673449</c:v>
                </c:pt>
                <c:pt idx="43">
                  <c:v>0.25125306481804471</c:v>
                </c:pt>
                <c:pt idx="44">
                  <c:v>0.25709325109935494</c:v>
                </c:pt>
                <c:pt idx="45">
                  <c:v>0.26293343738066516</c:v>
                </c:pt>
                <c:pt idx="46">
                  <c:v>0.26877362366197538</c:v>
                </c:pt>
                <c:pt idx="47">
                  <c:v>0.2746138099432856</c:v>
                </c:pt>
                <c:pt idx="48">
                  <c:v>0.28045399622459583</c:v>
                </c:pt>
                <c:pt idx="49">
                  <c:v>0.28629418250590605</c:v>
                </c:pt>
                <c:pt idx="50">
                  <c:v>0.29213436878721627</c:v>
                </c:pt>
                <c:pt idx="51">
                  <c:v>0.29797455506852649</c:v>
                </c:pt>
                <c:pt idx="52">
                  <c:v>0.30381474134983671</c:v>
                </c:pt>
                <c:pt idx="53">
                  <c:v>0.30965492763114694</c:v>
                </c:pt>
                <c:pt idx="54">
                  <c:v>0.31549511391245716</c:v>
                </c:pt>
                <c:pt idx="55">
                  <c:v>0.32133530019376738</c:v>
                </c:pt>
                <c:pt idx="56">
                  <c:v>0.3271754864750776</c:v>
                </c:pt>
                <c:pt idx="57">
                  <c:v>0.33301567275638783</c:v>
                </c:pt>
                <c:pt idx="58">
                  <c:v>0.33885585903769805</c:v>
                </c:pt>
                <c:pt idx="59">
                  <c:v>0.34469604531900827</c:v>
                </c:pt>
                <c:pt idx="60">
                  <c:v>0.35053623160031849</c:v>
                </c:pt>
                <c:pt idx="61">
                  <c:v>0.35637641788162872</c:v>
                </c:pt>
                <c:pt idx="62">
                  <c:v>0.36221660416293894</c:v>
                </c:pt>
                <c:pt idx="63">
                  <c:v>0.36805679044424916</c:v>
                </c:pt>
                <c:pt idx="64">
                  <c:v>0.37389697672555938</c:v>
                </c:pt>
                <c:pt idx="65">
                  <c:v>0.3797371630068696</c:v>
                </c:pt>
                <c:pt idx="66">
                  <c:v>0.38557734928817983</c:v>
                </c:pt>
                <c:pt idx="67">
                  <c:v>0.39141753556949005</c:v>
                </c:pt>
                <c:pt idx="68">
                  <c:v>0.39725772185080027</c:v>
                </c:pt>
                <c:pt idx="69">
                  <c:v>0.40309790813211049</c:v>
                </c:pt>
                <c:pt idx="70">
                  <c:v>0.40893809441342072</c:v>
                </c:pt>
                <c:pt idx="71">
                  <c:v>0.41477828069473094</c:v>
                </c:pt>
                <c:pt idx="72">
                  <c:v>0.42061846697604116</c:v>
                </c:pt>
                <c:pt idx="73">
                  <c:v>0.42645865325735138</c:v>
                </c:pt>
                <c:pt idx="74">
                  <c:v>0.43229883953866161</c:v>
                </c:pt>
                <c:pt idx="75">
                  <c:v>0.43813902581997183</c:v>
                </c:pt>
                <c:pt idx="76">
                  <c:v>0.44397921210128205</c:v>
                </c:pt>
                <c:pt idx="77">
                  <c:v>0.44981939838259227</c:v>
                </c:pt>
                <c:pt idx="78">
                  <c:v>0.45565958466390249</c:v>
                </c:pt>
                <c:pt idx="79">
                  <c:v>0.46149977094521272</c:v>
                </c:pt>
                <c:pt idx="80">
                  <c:v>0.46733995722652294</c:v>
                </c:pt>
                <c:pt idx="81">
                  <c:v>0.47318014350783316</c:v>
                </c:pt>
                <c:pt idx="82">
                  <c:v>0.47902032978914338</c:v>
                </c:pt>
                <c:pt idx="83">
                  <c:v>0.48486051607045361</c:v>
                </c:pt>
                <c:pt idx="84">
                  <c:v>0.49070070235176383</c:v>
                </c:pt>
                <c:pt idx="85">
                  <c:v>0.49654088863307405</c:v>
                </c:pt>
                <c:pt idx="86">
                  <c:v>0.50238107491438433</c:v>
                </c:pt>
                <c:pt idx="87">
                  <c:v>0.50822126119569455</c:v>
                </c:pt>
                <c:pt idx="88">
                  <c:v>0.51406144747700477</c:v>
                </c:pt>
                <c:pt idx="89">
                  <c:v>0.519901633758315</c:v>
                </c:pt>
                <c:pt idx="90">
                  <c:v>0.52574182003962522</c:v>
                </c:pt>
                <c:pt idx="91">
                  <c:v>0.53158200632093544</c:v>
                </c:pt>
                <c:pt idx="92">
                  <c:v>0.53742219260224566</c:v>
                </c:pt>
                <c:pt idx="93">
                  <c:v>0.54326237888355589</c:v>
                </c:pt>
                <c:pt idx="94">
                  <c:v>0.54910256516486611</c:v>
                </c:pt>
                <c:pt idx="95">
                  <c:v>0.55494275144617633</c:v>
                </c:pt>
                <c:pt idx="96">
                  <c:v>0.56078293772748655</c:v>
                </c:pt>
                <c:pt idx="97">
                  <c:v>0.56662312400879677</c:v>
                </c:pt>
                <c:pt idx="98">
                  <c:v>0.572463310290107</c:v>
                </c:pt>
                <c:pt idx="99">
                  <c:v>0.57830349657141722</c:v>
                </c:pt>
              </c:numCache>
            </c:numRef>
          </c:xVal>
          <c:yVal>
            <c:numRef>
              <c:f>Calc_Area!$F$931:$F$1030</c:f>
              <c:numCache>
                <c:formatCode>General</c:formatCode>
                <c:ptCount val="100"/>
                <c:pt idx="0">
                  <c:v>7.9929995623358794</c:v>
                </c:pt>
                <c:pt idx="1">
                  <c:v>7.6718655509808666</c:v>
                </c:pt>
                <c:pt idx="2">
                  <c:v>7.3618546312877999</c:v>
                </c:pt>
                <c:pt idx="3">
                  <c:v>7.0626438738383328</c:v>
                </c:pt>
                <c:pt idx="4">
                  <c:v>6.7739178935086235</c:v>
                </c:pt>
                <c:pt idx="5">
                  <c:v>6.4953687165020417</c:v>
                </c:pt>
                <c:pt idx="6">
                  <c:v>6.2266956489534939</c:v>
                </c:pt>
                <c:pt idx="7">
                  <c:v>5.9676051470960223</c:v>
                </c:pt>
                <c:pt idx="8">
                  <c:v>5.7178106889803679</c:v>
                </c:pt>
                <c:pt idx="9">
                  <c:v>5.4770326477380813</c:v>
                </c:pt>
                <c:pt idx="10">
                  <c:v>5.2449981663789318</c:v>
                </c:pt>
                <c:pt idx="11">
                  <c:v>5.0214410341131943</c:v>
                </c:pt>
                <c:pt idx="12">
                  <c:v>4.8061015641895164</c:v>
                </c:pt>
                <c:pt idx="13">
                  <c:v>4.5987264732389992</c:v>
                </c:pt>
                <c:pt idx="14">
                  <c:v>4.3990687621161602</c:v>
                </c:pt>
                <c:pt idx="15">
                  <c:v>4.2068875982274134</c:v>
                </c:pt>
                <c:pt idx="16">
                  <c:v>4.0219481993377695</c:v>
                </c:pt>
                <c:pt idx="17">
                  <c:v>3.8440217188463617</c:v>
                </c:pt>
                <c:pt idx="18">
                  <c:v>3.6728851325214724</c:v>
                </c:pt>
                <c:pt idx="19">
                  <c:v>3.5083211266857335</c:v>
                </c:pt>
                <c:pt idx="20">
                  <c:v>3.3501179878421334</c:v>
                </c:pt>
                <c:pt idx="21">
                  <c:v>3.1980694937315102</c:v>
                </c:pt>
                <c:pt idx="22">
                  <c:v>3.0519748058121521</c:v>
                </c:pt>
                <c:pt idx="23">
                  <c:v>2.9116383631522109</c:v>
                </c:pt>
                <c:pt idx="24">
                  <c:v>2.7768697777255311</c:v>
                </c:pt>
                <c:pt idx="25">
                  <c:v>2.6474837311016017</c:v>
                </c:pt>
                <c:pt idx="26">
                  <c:v>2.5232998725202496</c:v>
                </c:pt>
                <c:pt idx="27">
                  <c:v>2.4041427183417481</c:v>
                </c:pt>
                <c:pt idx="28">
                  <c:v>2.2898415528630034</c:v>
                </c:pt>
                <c:pt idx="29">
                  <c:v>2.180230330490454</c:v>
                </c:pt>
                <c:pt idx="30">
                  <c:v>2.0751475792603511</c:v>
                </c:pt>
                <c:pt idx="31">
                  <c:v>1.9744363056971004</c:v>
                </c:pt>
                <c:pt idx="32">
                  <c:v>1.8779439010002676</c:v>
                </c:pt>
                <c:pt idx="33">
                  <c:v>1.7855220485509555</c:v>
                </c:pt>
                <c:pt idx="34">
                  <c:v>1.6970266327281864</c:v>
                </c:pt>
                <c:pt idx="35">
                  <c:v>1.6123176490259432</c:v>
                </c:pt>
                <c:pt idx="36">
                  <c:v>1.531259115461544</c:v>
                </c:pt>
                <c:pt idx="37">
                  <c:v>1.4537189852659758</c:v>
                </c:pt>
                <c:pt idx="38">
                  <c:v>1.3795690608468785</c:v>
                </c:pt>
                <c:pt idx="39">
                  <c:v>1.308684909014818</c:v>
                </c:pt>
                <c:pt idx="40">
                  <c:v>1.2409457774634995</c:v>
                </c:pt>
                <c:pt idx="41">
                  <c:v>1.1762345124945868</c:v>
                </c:pt>
                <c:pt idx="42">
                  <c:v>1.114437477977789</c:v>
                </c:pt>
                <c:pt idx="43">
                  <c:v>1.0554444755368582</c:v>
                </c:pt>
                <c:pt idx="44">
                  <c:v>0.99914866595216201</c:v>
                </c:pt>
                <c:pt idx="45">
                  <c:v>0.94544649177048534</c:v>
                </c:pt>
                <c:pt idx="46">
                  <c:v>0.89423760111272321</c:v>
                </c:pt>
                <c:pt idx="47">
                  <c:v>0.84542477267011296</c:v>
                </c:pt>
                <c:pt idx="48">
                  <c:v>0.79891384187966452</c:v>
                </c:pt>
                <c:pt idx="49">
                  <c:v>0.7546136282694561</c:v>
                </c:pt>
                <c:pt idx="50">
                  <c:v>0.71243586396442971</c:v>
                </c:pt>
                <c:pt idx="51">
                  <c:v>0.67229512334337016</c:v>
                </c:pt>
                <c:pt idx="52">
                  <c:v>0.6341087538376976</c:v>
                </c:pt>
                <c:pt idx="53">
                  <c:v>0.59779680786275169</c:v>
                </c:pt>
                <c:pt idx="54">
                  <c:v>0.56328197587221174</c:v>
                </c:pt>
                <c:pt idx="55">
                  <c:v>0.53048952052630982</c:v>
                </c:pt>
                <c:pt idx="56">
                  <c:v>0.49934721196450149</c:v>
                </c:pt>
                <c:pt idx="57">
                  <c:v>0.46978526417324162</c:v>
                </c:pt>
                <c:pt idx="58">
                  <c:v>0.4417362724395264</c:v>
                </c:pt>
                <c:pt idx="59">
                  <c:v>0.4151351518808577</c:v>
                </c:pt>
                <c:pt idx="60">
                  <c:v>0.3899190770422859</c:v>
                </c:pt>
                <c:pt idx="61">
                  <c:v>0.36602742255118659</c:v>
                </c:pt>
                <c:pt idx="62">
                  <c:v>0.34340170482043092</c:v>
                </c:pt>
                <c:pt idx="63">
                  <c:v>0.32198552479060216</c:v>
                </c:pt>
                <c:pt idx="64">
                  <c:v>0.30172451170191694</c:v>
                </c:pt>
                <c:pt idx="65">
                  <c:v>0.28256626788650951</c:v>
                </c:pt>
                <c:pt idx="66">
                  <c:v>0.26446031457173191</c:v>
                </c:pt>
                <c:pt idx="67">
                  <c:v>0.24735803868512893</c:v>
                </c:pt>
                <c:pt idx="68">
                  <c:v>0.2312126406517441</c:v>
                </c:pt>
                <c:pt idx="69">
                  <c:v>0.21597908317441328</c:v>
                </c:pt>
                <c:pt idx="70">
                  <c:v>0.20161404098770111</c:v>
                </c:pt>
                <c:pt idx="71">
                  <c:v>0.1880758515761396</c:v>
                </c:pt>
                <c:pt idx="72">
                  <c:v>0.17532446684742187</c:v>
                </c:pt>
                <c:pt idx="73">
                  <c:v>0.16332140575121099</c:v>
                </c:pt>
                <c:pt idx="74">
                  <c:v>0.15202970783421832</c:v>
                </c:pt>
                <c:pt idx="75">
                  <c:v>0.14141388772220809</c:v>
                </c:pt>
                <c:pt idx="76">
                  <c:v>0.13143989051958593</c:v>
                </c:pt>
                <c:pt idx="77">
                  <c:v>0.12207504811722665</c:v>
                </c:pt>
                <c:pt idx="78">
                  <c:v>0.11328803639919853</c:v>
                </c:pt>
                <c:pt idx="79">
                  <c:v>0.10504883333904051</c:v>
                </c:pt>
                <c:pt idx="80">
                  <c:v>9.7328677976248279E-2</c:v>
                </c:pt>
                <c:pt idx="81">
                  <c:v>9.0100030263627201E-2</c:v>
                </c:pt>
                <c:pt idx="82">
                  <c:v>8.3336531776166664E-2</c:v>
                </c:pt>
                <c:pt idx="83">
                  <c:v>7.7012967272094474E-2</c:v>
                </c:pt>
                <c:pt idx="84">
                  <c:v>7.1105227096765936E-2</c:v>
                </c:pt>
                <c:pt idx="85">
                  <c:v>6.5590270420045629E-2</c:v>
                </c:pt>
                <c:pt idx="86">
                  <c:v>6.0446089297837659E-2</c:v>
                </c:pt>
                <c:pt idx="87">
                  <c:v>5.5651673548421265E-2</c:v>
                </c:pt>
                <c:pt idx="88">
                  <c:v>5.1186976434247751E-2</c:v>
                </c:pt>
                <c:pt idx="89">
                  <c:v>4.7032881139856306E-2</c:v>
                </c:pt>
                <c:pt idx="90">
                  <c:v>4.3171168036564234E-2</c:v>
                </c:pt>
                <c:pt idx="91">
                  <c:v>3.9584482724588962E-2</c:v>
                </c:pt>
                <c:pt idx="92">
                  <c:v>3.6256304843257571E-2</c:v>
                </c:pt>
                <c:pt idx="93">
                  <c:v>3.3170917639961175E-2</c:v>
                </c:pt>
                <c:pt idx="94">
                  <c:v>3.0313378288510138E-2</c:v>
                </c:pt>
                <c:pt idx="95">
                  <c:v>2.7669488947547023E-2</c:v>
                </c:pt>
                <c:pt idx="96">
                  <c:v>2.52257685496735E-2</c:v>
                </c:pt>
                <c:pt idx="97">
                  <c:v>2.2969425311948132E-2</c:v>
                </c:pt>
                <c:pt idx="98">
                  <c:v>2.0888329958411216E-2</c:v>
                </c:pt>
                <c:pt idx="99">
                  <c:v>1.8970989645293486E-2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19-4660-8E66-072CBFD85802}"/>
            </c:ext>
          </c:extLst>
        </c:ser>
        <c:ser>
          <c:idx val="1"/>
          <c:order val="1"/>
          <c:tx>
            <c:v>Informed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Calc_Area!$E$931:$E$1030</c:f>
              <c:numCache>
                <c:formatCode>0.0E+00</c:formatCode>
                <c:ptCount val="100"/>
                <c:pt idx="0">
                  <c:v>1.2505472170427321E-4</c:v>
                </c:pt>
                <c:pt idx="1">
                  <c:v>5.9652410030145101E-3</c:v>
                </c:pt>
                <c:pt idx="2">
                  <c:v>1.1805427284324748E-2</c:v>
                </c:pt>
                <c:pt idx="3">
                  <c:v>1.7645613565634984E-2</c:v>
                </c:pt>
                <c:pt idx="4">
                  <c:v>2.348579984694522E-2</c:v>
                </c:pt>
                <c:pt idx="5">
                  <c:v>2.9325986128255457E-2</c:v>
                </c:pt>
                <c:pt idx="6">
                  <c:v>3.5166172409565696E-2</c:v>
                </c:pt>
                <c:pt idx="7">
                  <c:v>4.1006358690875933E-2</c:v>
                </c:pt>
                <c:pt idx="8">
                  <c:v>4.6846544972186169E-2</c:v>
                </c:pt>
                <c:pt idx="9">
                  <c:v>5.2686731253496405E-2</c:v>
                </c:pt>
                <c:pt idx="10">
                  <c:v>5.8526917534806641E-2</c:v>
                </c:pt>
                <c:pt idx="11">
                  <c:v>6.4367103816116877E-2</c:v>
                </c:pt>
                <c:pt idx="12">
                  <c:v>7.0207290097427114E-2</c:v>
                </c:pt>
                <c:pt idx="13">
                  <c:v>7.604747637873735E-2</c:v>
                </c:pt>
                <c:pt idx="14">
                  <c:v>8.1887662660047586E-2</c:v>
                </c:pt>
                <c:pt idx="15">
                  <c:v>8.7727848941357822E-2</c:v>
                </c:pt>
                <c:pt idx="16">
                  <c:v>9.3568035222668058E-2</c:v>
                </c:pt>
                <c:pt idx="17">
                  <c:v>9.9408221503978295E-2</c:v>
                </c:pt>
                <c:pt idx="18">
                  <c:v>0.10524840778528853</c:v>
                </c:pt>
                <c:pt idx="19">
                  <c:v>0.11108859406659877</c:v>
                </c:pt>
                <c:pt idx="20">
                  <c:v>0.116928780347909</c:v>
                </c:pt>
                <c:pt idx="21">
                  <c:v>0.12276896662921924</c:v>
                </c:pt>
                <c:pt idx="22">
                  <c:v>0.12860915291052949</c:v>
                </c:pt>
                <c:pt idx="23">
                  <c:v>0.13444933919183974</c:v>
                </c:pt>
                <c:pt idx="24">
                  <c:v>0.14028952547314999</c:v>
                </c:pt>
                <c:pt idx="25">
                  <c:v>0.14612971175446024</c:v>
                </c:pt>
                <c:pt idx="26">
                  <c:v>0.15196989803577049</c:v>
                </c:pt>
                <c:pt idx="27">
                  <c:v>0.15781008431708074</c:v>
                </c:pt>
                <c:pt idx="28">
                  <c:v>0.16365027059839099</c:v>
                </c:pt>
                <c:pt idx="29">
                  <c:v>0.16949045687970124</c:v>
                </c:pt>
                <c:pt idx="30">
                  <c:v>0.17533064316101149</c:v>
                </c:pt>
                <c:pt idx="31">
                  <c:v>0.18117082944232174</c:v>
                </c:pt>
                <c:pt idx="32">
                  <c:v>0.18701101572363199</c:v>
                </c:pt>
                <c:pt idx="33">
                  <c:v>0.19285120200494224</c:v>
                </c:pt>
                <c:pt idx="34">
                  <c:v>0.19869138828625249</c:v>
                </c:pt>
                <c:pt idx="35">
                  <c:v>0.20453157456756274</c:v>
                </c:pt>
                <c:pt idx="36">
                  <c:v>0.21037176084887299</c:v>
                </c:pt>
                <c:pt idx="37">
                  <c:v>0.21621194713018324</c:v>
                </c:pt>
                <c:pt idx="38">
                  <c:v>0.22205213341149349</c:v>
                </c:pt>
                <c:pt idx="39">
                  <c:v>0.22789231969280374</c:v>
                </c:pt>
                <c:pt idx="40">
                  <c:v>0.23373250597411399</c:v>
                </c:pt>
                <c:pt idx="41">
                  <c:v>0.23957269225542424</c:v>
                </c:pt>
                <c:pt idx="42">
                  <c:v>0.24541287853673449</c:v>
                </c:pt>
                <c:pt idx="43">
                  <c:v>0.25125306481804471</c:v>
                </c:pt>
                <c:pt idx="44">
                  <c:v>0.25709325109935494</c:v>
                </c:pt>
                <c:pt idx="45">
                  <c:v>0.26293343738066516</c:v>
                </c:pt>
                <c:pt idx="46">
                  <c:v>0.26877362366197538</c:v>
                </c:pt>
                <c:pt idx="47">
                  <c:v>0.2746138099432856</c:v>
                </c:pt>
                <c:pt idx="48">
                  <c:v>0.28045399622459583</c:v>
                </c:pt>
                <c:pt idx="49">
                  <c:v>0.28629418250590605</c:v>
                </c:pt>
                <c:pt idx="50">
                  <c:v>0.29213436878721627</c:v>
                </c:pt>
                <c:pt idx="51">
                  <c:v>0.29797455506852649</c:v>
                </c:pt>
                <c:pt idx="52">
                  <c:v>0.30381474134983671</c:v>
                </c:pt>
                <c:pt idx="53">
                  <c:v>0.30965492763114694</c:v>
                </c:pt>
                <c:pt idx="54">
                  <c:v>0.31549511391245716</c:v>
                </c:pt>
                <c:pt idx="55">
                  <c:v>0.32133530019376738</c:v>
                </c:pt>
                <c:pt idx="56">
                  <c:v>0.3271754864750776</c:v>
                </c:pt>
                <c:pt idx="57">
                  <c:v>0.33301567275638783</c:v>
                </c:pt>
                <c:pt idx="58">
                  <c:v>0.33885585903769805</c:v>
                </c:pt>
                <c:pt idx="59">
                  <c:v>0.34469604531900827</c:v>
                </c:pt>
                <c:pt idx="60">
                  <c:v>0.35053623160031849</c:v>
                </c:pt>
                <c:pt idx="61">
                  <c:v>0.35637641788162872</c:v>
                </c:pt>
                <c:pt idx="62">
                  <c:v>0.36221660416293894</c:v>
                </c:pt>
                <c:pt idx="63">
                  <c:v>0.36805679044424916</c:v>
                </c:pt>
                <c:pt idx="64">
                  <c:v>0.37389697672555938</c:v>
                </c:pt>
                <c:pt idx="65">
                  <c:v>0.3797371630068696</c:v>
                </c:pt>
                <c:pt idx="66">
                  <c:v>0.38557734928817983</c:v>
                </c:pt>
                <c:pt idx="67">
                  <c:v>0.39141753556949005</c:v>
                </c:pt>
                <c:pt idx="68">
                  <c:v>0.39725772185080027</c:v>
                </c:pt>
                <c:pt idx="69">
                  <c:v>0.40309790813211049</c:v>
                </c:pt>
                <c:pt idx="70">
                  <c:v>0.40893809441342072</c:v>
                </c:pt>
                <c:pt idx="71">
                  <c:v>0.41477828069473094</c:v>
                </c:pt>
                <c:pt idx="72">
                  <c:v>0.42061846697604116</c:v>
                </c:pt>
                <c:pt idx="73">
                  <c:v>0.42645865325735138</c:v>
                </c:pt>
                <c:pt idx="74">
                  <c:v>0.43229883953866161</c:v>
                </c:pt>
                <c:pt idx="75">
                  <c:v>0.43813902581997183</c:v>
                </c:pt>
                <c:pt idx="76">
                  <c:v>0.44397921210128205</c:v>
                </c:pt>
                <c:pt idx="77">
                  <c:v>0.44981939838259227</c:v>
                </c:pt>
                <c:pt idx="78">
                  <c:v>0.45565958466390249</c:v>
                </c:pt>
                <c:pt idx="79">
                  <c:v>0.46149977094521272</c:v>
                </c:pt>
                <c:pt idx="80">
                  <c:v>0.46733995722652294</c:v>
                </c:pt>
                <c:pt idx="81">
                  <c:v>0.47318014350783316</c:v>
                </c:pt>
                <c:pt idx="82">
                  <c:v>0.47902032978914338</c:v>
                </c:pt>
                <c:pt idx="83">
                  <c:v>0.48486051607045361</c:v>
                </c:pt>
                <c:pt idx="84">
                  <c:v>0.49070070235176383</c:v>
                </c:pt>
                <c:pt idx="85">
                  <c:v>0.49654088863307405</c:v>
                </c:pt>
                <c:pt idx="86">
                  <c:v>0.50238107491438433</c:v>
                </c:pt>
                <c:pt idx="87">
                  <c:v>0.50822126119569455</c:v>
                </c:pt>
                <c:pt idx="88">
                  <c:v>0.51406144747700477</c:v>
                </c:pt>
                <c:pt idx="89">
                  <c:v>0.519901633758315</c:v>
                </c:pt>
                <c:pt idx="90">
                  <c:v>0.52574182003962522</c:v>
                </c:pt>
                <c:pt idx="91">
                  <c:v>0.53158200632093544</c:v>
                </c:pt>
                <c:pt idx="92">
                  <c:v>0.53742219260224566</c:v>
                </c:pt>
                <c:pt idx="93">
                  <c:v>0.54326237888355589</c:v>
                </c:pt>
                <c:pt idx="94">
                  <c:v>0.54910256516486611</c:v>
                </c:pt>
                <c:pt idx="95">
                  <c:v>0.55494275144617633</c:v>
                </c:pt>
                <c:pt idx="96">
                  <c:v>0.56078293772748655</c:v>
                </c:pt>
                <c:pt idx="97">
                  <c:v>0.56662312400879677</c:v>
                </c:pt>
                <c:pt idx="98">
                  <c:v>0.572463310290107</c:v>
                </c:pt>
                <c:pt idx="99">
                  <c:v>0.57830349657141722</c:v>
                </c:pt>
              </c:numCache>
            </c:numRef>
          </c:xVal>
          <c:yVal>
            <c:numRef>
              <c:f>Calc_Area!$G$931:$G$1030</c:f>
              <c:numCache>
                <c:formatCode>General</c:formatCode>
                <c:ptCount val="100"/>
                <c:pt idx="0">
                  <c:v>3.8190249618569289E-2</c:v>
                </c:pt>
                <c:pt idx="1">
                  <c:v>1.6587256295888966</c:v>
                </c:pt>
                <c:pt idx="2">
                  <c:v>2.9873256425456063</c:v>
                </c:pt>
                <c:pt idx="3">
                  <c:v>4.0611516768828775</c:v>
                </c:pt>
                <c:pt idx="4">
                  <c:v>4.9134188821675622</c:v>
                </c:pt>
                <c:pt idx="5">
                  <c:v>5.5737630510945513</c:v>
                </c:pt>
                <c:pt idx="6">
                  <c:v>6.06857710140011</c:v>
                </c:pt>
                <c:pt idx="7">
                  <c:v>6.4213194156939304</c:v>
                </c:pt>
                <c:pt idx="8">
                  <c:v>6.6527961469441808</c:v>
                </c:pt>
                <c:pt idx="9">
                  <c:v>6.7814194560298988</c:v>
                </c:pt>
                <c:pt idx="10">
                  <c:v>6.8234435148967245</c:v>
                </c:pt>
                <c:pt idx="11">
                  <c:v>6.7931799839680478</c:v>
                </c:pt>
                <c:pt idx="12">
                  <c:v>6.703194555151561</c:v>
                </c:pt>
                <c:pt idx="13">
                  <c:v>6.5644860416345061</c:v>
                </c:pt>
                <c:pt idx="14">
                  <c:v>6.3866493922941148</c:v>
                </c:pt>
                <c:pt idx="15">
                  <c:v>6.178023911594611</c:v>
                </c:pt>
                <c:pt idx="16">
                  <c:v>5.945827874948554</c:v>
                </c:pt>
                <c:pt idx="17">
                  <c:v>5.6962806443529299</c:v>
                </c:pt>
                <c:pt idx="18">
                  <c:v>5.4347133093535573</c:v>
                </c:pt>
                <c:pt idx="19">
                  <c:v>5.1656688037401253</c:v>
                </c:pt>
                <c:pt idx="20">
                  <c:v>4.8929923785423837</c:v>
                </c:pt>
                <c:pt idx="21">
                  <c:v>4.6199132466110804</c:v>
                </c:pt>
                <c:pt idx="22">
                  <c:v>4.349118153065163</c:v>
                </c:pt>
                <c:pt idx="23">
                  <c:v>4.0828175689224668</c:v>
                </c:pt>
                <c:pt idx="24">
                  <c:v>3.8228051520692063</c:v>
                </c:pt>
                <c:pt idx="25">
                  <c:v>3.5705110701417984</c:v>
                </c:pt>
                <c:pt idx="26">
                  <c:v>3.3270497336804241</c:v>
                </c:pt>
                <c:pt idx="27">
                  <c:v>3.0932624448671313</c:v>
                </c:pt>
                <c:pt idx="28">
                  <c:v>2.8697554270915542</c:v>
                </c:pt>
                <c:pt idx="29">
                  <c:v>2.6569336633137248</c:v>
                </c:pt>
                <c:pt idx="30">
                  <c:v>2.4550309365456453</c:v>
                </c:pt>
                <c:pt idx="31">
                  <c:v>2.2641364335887988</c:v>
                </c:pt>
                <c:pt idx="32">
                  <c:v>2.0842182432902789</c:v>
                </c:pt>
                <c:pt idx="33">
                  <c:v>1.915144052871478</c:v>
                </c:pt>
                <c:pt idx="34">
                  <c:v>1.7566993202021206</c:v>
                </c:pt>
                <c:pt idx="35">
                  <c:v>1.6086031761099908</c:v>
                </c:pt>
                <c:pt idx="36">
                  <c:v>1.4705222888103298</c:v>
                </c:pt>
                <c:pt idx="37">
                  <c:v>1.3420829021927201</c:v>
                </c:pt>
                <c:pt idx="38">
                  <c:v>1.2228812409087164</c:v>
                </c:pt>
                <c:pt idx="39">
                  <c:v>1.1124924578569875</c:v>
                </c:pt>
                <c:pt idx="40">
                  <c:v>1.0104782836677961</c:v>
                </c:pt>
                <c:pt idx="41">
                  <c:v>0.91639352305357125</c:v>
                </c:pt>
                <c:pt idx="42">
                  <c:v>0.82979152933111888</c:v>
                </c:pt>
                <c:pt idx="43">
                  <c:v>0.7502287759525581</c:v>
                </c:pt>
                <c:pt idx="44">
                  <c:v>0.67726863243032842</c:v>
                </c:pt>
                <c:pt idx="45">
                  <c:v>0.61048444153478709</c:v>
                </c:pt>
                <c:pt idx="46">
                  <c:v>0.54946198501381494</c:v>
                </c:pt>
                <c:pt idx="47">
                  <c:v>0.49380141626920865</c:v>
                </c:pt>
                <c:pt idx="48">
                  <c:v>0.44311873036529681</c:v>
                </c:pt>
                <c:pt idx="49">
                  <c:v>0.39704683438551319</c:v>
                </c:pt>
                <c:pt idx="50">
                  <c:v>0.35523627444049188</c:v>
                </c:pt>
                <c:pt idx="51">
                  <c:v>0.31735566951804062</c:v>
                </c:pt>
                <c:pt idx="52">
                  <c:v>0.28309189680519398</c:v>
                </c:pt>
                <c:pt idx="53">
                  <c:v>0.25215006806312623</c:v>
                </c:pt>
                <c:pt idx="54">
                  <c:v>0.22425333205687256</c:v>
                </c:pt>
                <c:pt idx="55">
                  <c:v>0.19914253389657915</c:v>
                </c:pt>
                <c:pt idx="56">
                  <c:v>0.17657575840059445</c:v>
                </c:pt>
                <c:pt idx="57">
                  <c:v>0.15632778121077223</c:v>
                </c:pt>
                <c:pt idx="58">
                  <c:v>0.13818944834683694</c:v>
                </c:pt>
                <c:pt idx="59">
                  <c:v>0.12196700215148197</c:v>
                </c:pt>
                <c:pt idx="60">
                  <c:v>0.10748136912502555</c:v>
                </c:pt>
                <c:pt idx="61">
                  <c:v>9.4567422953728969E-2</c:v>
                </c:pt>
                <c:pt idx="62">
                  <c:v>8.3073234076859376E-2</c:v>
                </c:pt>
                <c:pt idx="63">
                  <c:v>7.2859315393433474E-2</c:v>
                </c:pt>
                <c:pt idx="64">
                  <c:v>6.3797872161066388E-2</c:v>
                </c:pt>
                <c:pt idx="65">
                  <c:v>5.577206276863058E-2</c:v>
                </c:pt>
                <c:pt idx="66">
                  <c:v>4.8675275855051797E-2</c:v>
                </c:pt>
                <c:pt idx="67">
                  <c:v>4.2410428183330837E-2</c:v>
                </c:pt>
                <c:pt idx="68">
                  <c:v>3.6889286747767376E-2</c:v>
                </c:pt>
                <c:pt idx="69">
                  <c:v>3.2031817780478082E-2</c:v>
                </c:pt>
                <c:pt idx="70">
                  <c:v>2.7765564618780283E-2</c:v>
                </c:pt>
                <c:pt idx="71">
                  <c:v>2.4025055786958217E-2</c:v>
                </c:pt>
                <c:pt idx="72">
                  <c:v>2.0751244124346372E-2</c:v>
                </c:pt>
                <c:pt idx="73">
                  <c:v>1.789097734740526E-2</c:v>
                </c:pt>
                <c:pt idx="74">
                  <c:v>1.5396500058152482E-2</c:v>
                </c:pt>
                <c:pt idx="75">
                  <c:v>1.3224986897309856E-2</c:v>
                </c:pt>
                <c:pt idx="76">
                  <c:v>1.133810628086679E-2</c:v>
                </c:pt>
                <c:pt idx="77">
                  <c:v>9.7016139470997732E-3</c:v>
                </c:pt>
                <c:pt idx="78">
                  <c:v>8.2849753716738393E-3</c:v>
                </c:pt>
                <c:pt idx="79">
                  <c:v>7.0610159760597447E-3</c:v>
                </c:pt>
                <c:pt idx="80">
                  <c:v>6.0055979544096985E-3</c:v>
                </c:pt>
                <c:pt idx="81">
                  <c:v>5.0973224719796321E-3</c:v>
                </c:pt>
                <c:pt idx="82">
                  <c:v>4.3172559403264364E-3</c:v>
                </c:pt>
                <c:pt idx="83">
                  <c:v>3.6486790473938594E-3</c:v>
                </c:pt>
                <c:pt idx="84">
                  <c:v>3.0768572111367237E-3</c:v>
                </c:pt>
                <c:pt idx="85">
                  <c:v>2.5888311307573301E-3</c:v>
                </c:pt>
                <c:pt idx="86">
                  <c:v>2.1732261274763584E-3</c:v>
                </c:pt>
                <c:pt idx="87">
                  <c:v>1.8200789948473516E-3</c:v>
                </c:pt>
                <c:pt idx="88">
                  <c:v>1.5206811150137174E-3</c:v>
                </c:pt>
                <c:pt idx="89">
                  <c:v>1.2674366402945923E-3</c:v>
                </c:pt>
                <c:pt idx="90">
                  <c:v>1.0537345875744936E-3</c:v>
                </c:pt>
                <c:pt idx="91">
                  <c:v>8.7383374485455907E-4</c:v>
                </c:pt>
                <c:pt idx="92">
                  <c:v>7.2275934386502316E-4</c:v>
                </c:pt>
                <c:pt idx="93">
                  <c:v>5.9621050885969929E-4</c:v>
                </c:pt>
                <c:pt idx="94">
                  <c:v>4.904775487733446E-4</c:v>
                </c:pt>
                <c:pt idx="95">
                  <c:v>4.0236821710782294E-4</c:v>
                </c:pt>
                <c:pt idx="96">
                  <c:v>3.2914212062125521E-4</c:v>
                </c:pt>
                <c:pt idx="97">
                  <c:v>2.6845251362509766E-4</c:v>
                </c:pt>
                <c:pt idx="98">
                  <c:v>2.1829476903600296E-4</c:v>
                </c:pt>
                <c:pt idx="99">
                  <c:v>1.7696086995085673E-4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19-4660-8E66-072CBFD85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965168"/>
        <c:axId val="446965560"/>
      </c:scatterChart>
      <c:valAx>
        <c:axId val="44696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446965560"/>
        <c:crosses val="autoZero"/>
        <c:crossBetween val="midCat"/>
      </c:valAx>
      <c:valAx>
        <c:axId val="446965560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446965168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Calc_Area!$P$316:$P$324</c:f>
              <c:strCache>
                <c:ptCount val="9"/>
                <c:pt idx="0">
                  <c:v>0.0</c:v>
                </c:pt>
                <c:pt idx="4">
                  <c:v>2.0</c:v>
                </c:pt>
                <c:pt idx="8">
                  <c:v>6.0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Calc_Area!$P$316:$P$324</c:f>
              <c:numCache>
                <c:formatCode>General</c:formatCode>
                <c:ptCount val="9"/>
                <c:pt idx="0" formatCode="0.0">
                  <c:v>0</c:v>
                </c:pt>
                <c:pt idx="4" formatCode="0.0">
                  <c:v>2</c:v>
                </c:pt>
                <c:pt idx="8" formatCode="0.0">
                  <c:v>6</c:v>
                </c:pt>
              </c:numCache>
            </c:numRef>
          </c:cat>
          <c:val>
            <c:numRef>
              <c:f>Calc_Area!$N$316:$N$324</c:f>
              <c:numCache>
                <c:formatCode>General</c:formatCode>
                <c:ptCount val="9"/>
                <c:pt idx="0">
                  <c:v>39</c:v>
                </c:pt>
                <c:pt idx="1">
                  <c:v>31</c:v>
                </c:pt>
                <c:pt idx="2">
                  <c:v>0</c:v>
                </c:pt>
                <c:pt idx="3">
                  <c:v>18</c:v>
                </c:pt>
                <c:pt idx="4">
                  <c:v>12</c:v>
                </c:pt>
                <c:pt idx="5">
                  <c:v>0</c:v>
                </c:pt>
                <c:pt idx="6">
                  <c:v>4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48-43D8-944C-4E9754BC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9326920"/>
        <c:axId val="259290656"/>
      </c:barChart>
      <c:catAx>
        <c:axId val="25932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59290656"/>
        <c:crosses val="autoZero"/>
        <c:auto val="0"/>
        <c:lblAlgn val="ctr"/>
        <c:lblOffset val="100"/>
        <c:tickMarkSkip val="6"/>
        <c:noMultiLvlLbl val="0"/>
      </c:catAx>
      <c:valAx>
        <c:axId val="259290656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9326920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46867294997216"/>
          <c:y val="5.0011349932609792E-2"/>
          <c:w val="0.78105986041517528"/>
          <c:h val="0.7793956160885362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Calc_Area!$E$1242:$E$1341</c:f>
              <c:numCache>
                <c:formatCode>0.0E+00</c:formatCode>
                <c:ptCount val="100"/>
                <c:pt idx="0">
                  <c:v>0.30299999999999999</c:v>
                </c:pt>
                <c:pt idx="1">
                  <c:v>0.30299999999999999</c:v>
                </c:pt>
                <c:pt idx="2">
                  <c:v>0.30599999999999999</c:v>
                </c:pt>
                <c:pt idx="3">
                  <c:v>0.309</c:v>
                </c:pt>
                <c:pt idx="4">
                  <c:v>0.312</c:v>
                </c:pt>
                <c:pt idx="5">
                  <c:v>0.315</c:v>
                </c:pt>
                <c:pt idx="6">
                  <c:v>0.318</c:v>
                </c:pt>
                <c:pt idx="7">
                  <c:v>0.32100000000000001</c:v>
                </c:pt>
                <c:pt idx="8">
                  <c:v>0.32400000000000001</c:v>
                </c:pt>
                <c:pt idx="9">
                  <c:v>0.32700000000000001</c:v>
                </c:pt>
                <c:pt idx="10">
                  <c:v>0.33</c:v>
                </c:pt>
                <c:pt idx="11">
                  <c:v>0.33300000000000002</c:v>
                </c:pt>
                <c:pt idx="12">
                  <c:v>0.33600000000000002</c:v>
                </c:pt>
                <c:pt idx="13">
                  <c:v>0.33900000000000002</c:v>
                </c:pt>
                <c:pt idx="14">
                  <c:v>0.34200000000000003</c:v>
                </c:pt>
                <c:pt idx="15">
                  <c:v>0.34500000000000003</c:v>
                </c:pt>
                <c:pt idx="16">
                  <c:v>0.34800000000000003</c:v>
                </c:pt>
                <c:pt idx="17">
                  <c:v>0.35100000000000003</c:v>
                </c:pt>
                <c:pt idx="18">
                  <c:v>0.35400000000000004</c:v>
                </c:pt>
                <c:pt idx="19">
                  <c:v>0.35700000000000004</c:v>
                </c:pt>
                <c:pt idx="20">
                  <c:v>0.36000000000000004</c:v>
                </c:pt>
                <c:pt idx="21">
                  <c:v>0.36300000000000004</c:v>
                </c:pt>
                <c:pt idx="22">
                  <c:v>0.36600000000000005</c:v>
                </c:pt>
                <c:pt idx="23">
                  <c:v>0.36900000000000005</c:v>
                </c:pt>
                <c:pt idx="24">
                  <c:v>0.37200000000000005</c:v>
                </c:pt>
                <c:pt idx="25">
                  <c:v>0.37500000000000006</c:v>
                </c:pt>
                <c:pt idx="26">
                  <c:v>0.37800000000000006</c:v>
                </c:pt>
                <c:pt idx="27">
                  <c:v>0.38100000000000006</c:v>
                </c:pt>
                <c:pt idx="28">
                  <c:v>0.38400000000000006</c:v>
                </c:pt>
                <c:pt idx="29">
                  <c:v>0.38700000000000007</c:v>
                </c:pt>
                <c:pt idx="30">
                  <c:v>0.39000000000000007</c:v>
                </c:pt>
                <c:pt idx="31">
                  <c:v>0.39300000000000007</c:v>
                </c:pt>
                <c:pt idx="32">
                  <c:v>0.39600000000000007</c:v>
                </c:pt>
                <c:pt idx="33">
                  <c:v>0.39900000000000008</c:v>
                </c:pt>
                <c:pt idx="34">
                  <c:v>0.40200000000000008</c:v>
                </c:pt>
                <c:pt idx="35">
                  <c:v>0.40500000000000008</c:v>
                </c:pt>
                <c:pt idx="36">
                  <c:v>0.40800000000000008</c:v>
                </c:pt>
                <c:pt idx="37">
                  <c:v>0.41100000000000009</c:v>
                </c:pt>
                <c:pt idx="38">
                  <c:v>0.41400000000000009</c:v>
                </c:pt>
                <c:pt idx="39">
                  <c:v>0.41700000000000009</c:v>
                </c:pt>
                <c:pt idx="40">
                  <c:v>0.4200000000000001</c:v>
                </c:pt>
                <c:pt idx="41">
                  <c:v>0.4230000000000001</c:v>
                </c:pt>
                <c:pt idx="42">
                  <c:v>0.4260000000000001</c:v>
                </c:pt>
                <c:pt idx="43">
                  <c:v>0.4290000000000001</c:v>
                </c:pt>
                <c:pt idx="44">
                  <c:v>0.43200000000000011</c:v>
                </c:pt>
                <c:pt idx="45">
                  <c:v>0.43500000000000011</c:v>
                </c:pt>
                <c:pt idx="46">
                  <c:v>0.43800000000000011</c:v>
                </c:pt>
                <c:pt idx="47">
                  <c:v>0.44100000000000011</c:v>
                </c:pt>
                <c:pt idx="48">
                  <c:v>0.44400000000000012</c:v>
                </c:pt>
                <c:pt idx="49">
                  <c:v>0.44700000000000012</c:v>
                </c:pt>
                <c:pt idx="50">
                  <c:v>0.45000000000000012</c:v>
                </c:pt>
                <c:pt idx="51">
                  <c:v>0.45300000000000012</c:v>
                </c:pt>
                <c:pt idx="52">
                  <c:v>0.45600000000000013</c:v>
                </c:pt>
                <c:pt idx="53">
                  <c:v>0.45900000000000013</c:v>
                </c:pt>
                <c:pt idx="54">
                  <c:v>0.46200000000000013</c:v>
                </c:pt>
                <c:pt idx="55">
                  <c:v>0.46500000000000014</c:v>
                </c:pt>
                <c:pt idx="56">
                  <c:v>0.46800000000000014</c:v>
                </c:pt>
                <c:pt idx="57">
                  <c:v>0.47100000000000014</c:v>
                </c:pt>
                <c:pt idx="58">
                  <c:v>0.47400000000000014</c:v>
                </c:pt>
                <c:pt idx="59">
                  <c:v>0.47700000000000015</c:v>
                </c:pt>
                <c:pt idx="60">
                  <c:v>0.48000000000000015</c:v>
                </c:pt>
                <c:pt idx="61">
                  <c:v>0.48300000000000015</c:v>
                </c:pt>
                <c:pt idx="62">
                  <c:v>0.48600000000000015</c:v>
                </c:pt>
                <c:pt idx="63">
                  <c:v>0.48900000000000016</c:v>
                </c:pt>
                <c:pt idx="64">
                  <c:v>0.49200000000000016</c:v>
                </c:pt>
                <c:pt idx="65">
                  <c:v>0.49500000000000016</c:v>
                </c:pt>
                <c:pt idx="66">
                  <c:v>0.49800000000000016</c:v>
                </c:pt>
                <c:pt idx="67">
                  <c:v>0.50100000000000011</c:v>
                </c:pt>
                <c:pt idx="68">
                  <c:v>0.50400000000000011</c:v>
                </c:pt>
                <c:pt idx="69">
                  <c:v>0.50700000000000012</c:v>
                </c:pt>
                <c:pt idx="70">
                  <c:v>0.51000000000000012</c:v>
                </c:pt>
                <c:pt idx="71">
                  <c:v>0.51300000000000012</c:v>
                </c:pt>
                <c:pt idx="72">
                  <c:v>0.51600000000000013</c:v>
                </c:pt>
                <c:pt idx="73">
                  <c:v>0.51900000000000013</c:v>
                </c:pt>
                <c:pt idx="74">
                  <c:v>0.52200000000000013</c:v>
                </c:pt>
                <c:pt idx="75">
                  <c:v>0.52500000000000013</c:v>
                </c:pt>
                <c:pt idx="76">
                  <c:v>0.52800000000000014</c:v>
                </c:pt>
                <c:pt idx="77">
                  <c:v>0.53100000000000014</c:v>
                </c:pt>
                <c:pt idx="78">
                  <c:v>0.53400000000000014</c:v>
                </c:pt>
                <c:pt idx="79">
                  <c:v>0.53700000000000014</c:v>
                </c:pt>
                <c:pt idx="80">
                  <c:v>0.54000000000000015</c:v>
                </c:pt>
                <c:pt idx="81">
                  <c:v>0.54300000000000015</c:v>
                </c:pt>
                <c:pt idx="82">
                  <c:v>0.54600000000000015</c:v>
                </c:pt>
                <c:pt idx="83">
                  <c:v>0.54900000000000015</c:v>
                </c:pt>
                <c:pt idx="84">
                  <c:v>0.55200000000000016</c:v>
                </c:pt>
                <c:pt idx="85">
                  <c:v>0.55500000000000016</c:v>
                </c:pt>
                <c:pt idx="86">
                  <c:v>0.55800000000000016</c:v>
                </c:pt>
                <c:pt idx="87">
                  <c:v>0.56100000000000017</c:v>
                </c:pt>
                <c:pt idx="88">
                  <c:v>0.56400000000000017</c:v>
                </c:pt>
                <c:pt idx="89">
                  <c:v>0.56700000000000017</c:v>
                </c:pt>
                <c:pt idx="90">
                  <c:v>0.57000000000000017</c:v>
                </c:pt>
                <c:pt idx="91">
                  <c:v>0.57300000000000018</c:v>
                </c:pt>
                <c:pt idx="92">
                  <c:v>0.57600000000000018</c:v>
                </c:pt>
                <c:pt idx="93">
                  <c:v>0.57900000000000018</c:v>
                </c:pt>
                <c:pt idx="94">
                  <c:v>0.58200000000000018</c:v>
                </c:pt>
                <c:pt idx="95">
                  <c:v>0.58500000000000019</c:v>
                </c:pt>
                <c:pt idx="96">
                  <c:v>0.58800000000000019</c:v>
                </c:pt>
                <c:pt idx="97">
                  <c:v>0.59100000000000019</c:v>
                </c:pt>
                <c:pt idx="98">
                  <c:v>0.59400000000000019</c:v>
                </c:pt>
                <c:pt idx="99">
                  <c:v>0.5970000000000002</c:v>
                </c:pt>
              </c:numCache>
            </c:numRef>
          </c:xVal>
          <c:yVal>
            <c:numRef>
              <c:f>Calc_Area!$G$1242:$G$1341</c:f>
              <c:numCache>
                <c:formatCode>General</c:formatCode>
                <c:ptCount val="100"/>
                <c:pt idx="0">
                  <c:v>0</c:v>
                </c:pt>
                <c:pt idx="1">
                  <c:v>3.3333333333333335</c:v>
                </c:pt>
                <c:pt idx="2">
                  <c:v>3.3333333333333335</c:v>
                </c:pt>
                <c:pt idx="3">
                  <c:v>3.3333333333333335</c:v>
                </c:pt>
                <c:pt idx="4">
                  <c:v>3.3333333333333335</c:v>
                </c:pt>
                <c:pt idx="5">
                  <c:v>3.3333333333333335</c:v>
                </c:pt>
                <c:pt idx="6">
                  <c:v>3.3333333333333335</c:v>
                </c:pt>
                <c:pt idx="7">
                  <c:v>3.3333333333333335</c:v>
                </c:pt>
                <c:pt idx="8">
                  <c:v>3.3333333333333335</c:v>
                </c:pt>
                <c:pt idx="9">
                  <c:v>3.3333333333333335</c:v>
                </c:pt>
                <c:pt idx="10">
                  <c:v>3.3333333333333335</c:v>
                </c:pt>
                <c:pt idx="11">
                  <c:v>3.3333333333333335</c:v>
                </c:pt>
                <c:pt idx="12">
                  <c:v>3.3333333333333335</c:v>
                </c:pt>
                <c:pt idx="13">
                  <c:v>3.3333333333333335</c:v>
                </c:pt>
                <c:pt idx="14">
                  <c:v>3.3333333333333335</c:v>
                </c:pt>
                <c:pt idx="15">
                  <c:v>3.3333333333333335</c:v>
                </c:pt>
                <c:pt idx="16">
                  <c:v>3.3333333333333335</c:v>
                </c:pt>
                <c:pt idx="17">
                  <c:v>3.3333333333333335</c:v>
                </c:pt>
                <c:pt idx="18">
                  <c:v>3.3333333333333335</c:v>
                </c:pt>
                <c:pt idx="19">
                  <c:v>3.3333333333333335</c:v>
                </c:pt>
                <c:pt idx="20">
                  <c:v>3.3333333333333335</c:v>
                </c:pt>
                <c:pt idx="21">
                  <c:v>3.3333333333333335</c:v>
                </c:pt>
                <c:pt idx="22">
                  <c:v>3.3333333333333335</c:v>
                </c:pt>
                <c:pt idx="23">
                  <c:v>3.3333333333333335</c:v>
                </c:pt>
                <c:pt idx="24">
                  <c:v>3.3333333333333335</c:v>
                </c:pt>
                <c:pt idx="25">
                  <c:v>3.3333333333333335</c:v>
                </c:pt>
                <c:pt idx="26">
                  <c:v>3.3333333333333335</c:v>
                </c:pt>
                <c:pt idx="27">
                  <c:v>3.3333333333333335</c:v>
                </c:pt>
                <c:pt idx="28">
                  <c:v>3.3333333333333335</c:v>
                </c:pt>
                <c:pt idx="29">
                  <c:v>3.3333333333333335</c:v>
                </c:pt>
                <c:pt idx="30">
                  <c:v>3.3333333333333335</c:v>
                </c:pt>
                <c:pt idx="31">
                  <c:v>3.3333333333333335</c:v>
                </c:pt>
                <c:pt idx="32">
                  <c:v>3.3333333333333335</c:v>
                </c:pt>
                <c:pt idx="33">
                  <c:v>3.3333333333333335</c:v>
                </c:pt>
                <c:pt idx="34">
                  <c:v>3.3333333333333335</c:v>
                </c:pt>
                <c:pt idx="35">
                  <c:v>3.3333333333333335</c:v>
                </c:pt>
                <c:pt idx="36">
                  <c:v>3.3333333333333335</c:v>
                </c:pt>
                <c:pt idx="37">
                  <c:v>3.3333333333333335</c:v>
                </c:pt>
                <c:pt idx="38">
                  <c:v>3.3333333333333335</c:v>
                </c:pt>
                <c:pt idx="39">
                  <c:v>3.3333333333333335</c:v>
                </c:pt>
                <c:pt idx="40">
                  <c:v>3.3333333333333335</c:v>
                </c:pt>
                <c:pt idx="41">
                  <c:v>3.3333333333333335</c:v>
                </c:pt>
                <c:pt idx="42">
                  <c:v>3.3333333333333335</c:v>
                </c:pt>
                <c:pt idx="43">
                  <c:v>3.3333333333333335</c:v>
                </c:pt>
                <c:pt idx="44">
                  <c:v>3.3333333333333335</c:v>
                </c:pt>
                <c:pt idx="45">
                  <c:v>3.3333333333333335</c:v>
                </c:pt>
                <c:pt idx="46">
                  <c:v>3.3333333333333335</c:v>
                </c:pt>
                <c:pt idx="47">
                  <c:v>3.3333333333333335</c:v>
                </c:pt>
                <c:pt idx="48">
                  <c:v>3.3333333333333335</c:v>
                </c:pt>
                <c:pt idx="49">
                  <c:v>3.3333333333333335</c:v>
                </c:pt>
                <c:pt idx="50">
                  <c:v>3.3333333333333335</c:v>
                </c:pt>
                <c:pt idx="51">
                  <c:v>3.3333333333333335</c:v>
                </c:pt>
                <c:pt idx="52">
                  <c:v>3.3333333333333335</c:v>
                </c:pt>
                <c:pt idx="53">
                  <c:v>3.3333333333333335</c:v>
                </c:pt>
                <c:pt idx="54">
                  <c:v>3.3333333333333335</c:v>
                </c:pt>
                <c:pt idx="55">
                  <c:v>3.3333333333333335</c:v>
                </c:pt>
                <c:pt idx="56">
                  <c:v>3.3333333333333335</c:v>
                </c:pt>
                <c:pt idx="57">
                  <c:v>3.3333333333333335</c:v>
                </c:pt>
                <c:pt idx="58">
                  <c:v>3.3333333333333335</c:v>
                </c:pt>
                <c:pt idx="59">
                  <c:v>3.3333333333333335</c:v>
                </c:pt>
                <c:pt idx="60">
                  <c:v>3.3333333333333335</c:v>
                </c:pt>
                <c:pt idx="61">
                  <c:v>3.3333333333333335</c:v>
                </c:pt>
                <c:pt idx="62">
                  <c:v>3.3333333333333335</c:v>
                </c:pt>
                <c:pt idx="63">
                  <c:v>3.3333333333333335</c:v>
                </c:pt>
                <c:pt idx="64">
                  <c:v>3.3333333333333335</c:v>
                </c:pt>
                <c:pt idx="65">
                  <c:v>3.3333333333333335</c:v>
                </c:pt>
                <c:pt idx="66">
                  <c:v>3.3333333333333335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E-49D8-8CFE-ED86DF3CAA4E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Calc_Area!$E$1242:$E$1341</c:f>
              <c:numCache>
                <c:formatCode>0.0E+00</c:formatCode>
                <c:ptCount val="100"/>
                <c:pt idx="0">
                  <c:v>0.30299999999999999</c:v>
                </c:pt>
                <c:pt idx="1">
                  <c:v>0.30299999999999999</c:v>
                </c:pt>
                <c:pt idx="2">
                  <c:v>0.30599999999999999</c:v>
                </c:pt>
                <c:pt idx="3">
                  <c:v>0.309</c:v>
                </c:pt>
                <c:pt idx="4">
                  <c:v>0.312</c:v>
                </c:pt>
                <c:pt idx="5">
                  <c:v>0.315</c:v>
                </c:pt>
                <c:pt idx="6">
                  <c:v>0.318</c:v>
                </c:pt>
                <c:pt idx="7">
                  <c:v>0.32100000000000001</c:v>
                </c:pt>
                <c:pt idx="8">
                  <c:v>0.32400000000000001</c:v>
                </c:pt>
                <c:pt idx="9">
                  <c:v>0.32700000000000001</c:v>
                </c:pt>
                <c:pt idx="10">
                  <c:v>0.33</c:v>
                </c:pt>
                <c:pt idx="11">
                  <c:v>0.33300000000000002</c:v>
                </c:pt>
                <c:pt idx="12">
                  <c:v>0.33600000000000002</c:v>
                </c:pt>
                <c:pt idx="13">
                  <c:v>0.33900000000000002</c:v>
                </c:pt>
                <c:pt idx="14">
                  <c:v>0.34200000000000003</c:v>
                </c:pt>
                <c:pt idx="15">
                  <c:v>0.34500000000000003</c:v>
                </c:pt>
                <c:pt idx="16">
                  <c:v>0.34800000000000003</c:v>
                </c:pt>
                <c:pt idx="17">
                  <c:v>0.35100000000000003</c:v>
                </c:pt>
                <c:pt idx="18">
                  <c:v>0.35400000000000004</c:v>
                </c:pt>
                <c:pt idx="19">
                  <c:v>0.35700000000000004</c:v>
                </c:pt>
                <c:pt idx="20">
                  <c:v>0.36000000000000004</c:v>
                </c:pt>
                <c:pt idx="21">
                  <c:v>0.36300000000000004</c:v>
                </c:pt>
                <c:pt idx="22">
                  <c:v>0.36600000000000005</c:v>
                </c:pt>
                <c:pt idx="23">
                  <c:v>0.36900000000000005</c:v>
                </c:pt>
                <c:pt idx="24">
                  <c:v>0.37200000000000005</c:v>
                </c:pt>
                <c:pt idx="25">
                  <c:v>0.37500000000000006</c:v>
                </c:pt>
                <c:pt idx="26">
                  <c:v>0.37800000000000006</c:v>
                </c:pt>
                <c:pt idx="27">
                  <c:v>0.38100000000000006</c:v>
                </c:pt>
                <c:pt idx="28">
                  <c:v>0.38400000000000006</c:v>
                </c:pt>
                <c:pt idx="29">
                  <c:v>0.38700000000000007</c:v>
                </c:pt>
                <c:pt idx="30">
                  <c:v>0.39000000000000007</c:v>
                </c:pt>
                <c:pt idx="31">
                  <c:v>0.39300000000000007</c:v>
                </c:pt>
                <c:pt idx="32">
                  <c:v>0.39600000000000007</c:v>
                </c:pt>
                <c:pt idx="33">
                  <c:v>0.39900000000000008</c:v>
                </c:pt>
                <c:pt idx="34">
                  <c:v>0.40200000000000008</c:v>
                </c:pt>
                <c:pt idx="35">
                  <c:v>0.40500000000000008</c:v>
                </c:pt>
                <c:pt idx="36">
                  <c:v>0.40800000000000008</c:v>
                </c:pt>
                <c:pt idx="37">
                  <c:v>0.41100000000000009</c:v>
                </c:pt>
                <c:pt idx="38">
                  <c:v>0.41400000000000009</c:v>
                </c:pt>
                <c:pt idx="39">
                  <c:v>0.41700000000000009</c:v>
                </c:pt>
                <c:pt idx="40">
                  <c:v>0.4200000000000001</c:v>
                </c:pt>
                <c:pt idx="41">
                  <c:v>0.4230000000000001</c:v>
                </c:pt>
                <c:pt idx="42">
                  <c:v>0.4260000000000001</c:v>
                </c:pt>
                <c:pt idx="43">
                  <c:v>0.4290000000000001</c:v>
                </c:pt>
                <c:pt idx="44">
                  <c:v>0.43200000000000011</c:v>
                </c:pt>
                <c:pt idx="45">
                  <c:v>0.43500000000000011</c:v>
                </c:pt>
                <c:pt idx="46">
                  <c:v>0.43800000000000011</c:v>
                </c:pt>
                <c:pt idx="47">
                  <c:v>0.44100000000000011</c:v>
                </c:pt>
                <c:pt idx="48">
                  <c:v>0.44400000000000012</c:v>
                </c:pt>
                <c:pt idx="49">
                  <c:v>0.44700000000000012</c:v>
                </c:pt>
                <c:pt idx="50">
                  <c:v>0.45000000000000012</c:v>
                </c:pt>
                <c:pt idx="51">
                  <c:v>0.45300000000000012</c:v>
                </c:pt>
                <c:pt idx="52">
                  <c:v>0.45600000000000013</c:v>
                </c:pt>
                <c:pt idx="53">
                  <c:v>0.45900000000000013</c:v>
                </c:pt>
                <c:pt idx="54">
                  <c:v>0.46200000000000013</c:v>
                </c:pt>
                <c:pt idx="55">
                  <c:v>0.46500000000000014</c:v>
                </c:pt>
                <c:pt idx="56">
                  <c:v>0.46800000000000014</c:v>
                </c:pt>
                <c:pt idx="57">
                  <c:v>0.47100000000000014</c:v>
                </c:pt>
                <c:pt idx="58">
                  <c:v>0.47400000000000014</c:v>
                </c:pt>
                <c:pt idx="59">
                  <c:v>0.47700000000000015</c:v>
                </c:pt>
                <c:pt idx="60">
                  <c:v>0.48000000000000015</c:v>
                </c:pt>
                <c:pt idx="61">
                  <c:v>0.48300000000000015</c:v>
                </c:pt>
                <c:pt idx="62">
                  <c:v>0.48600000000000015</c:v>
                </c:pt>
                <c:pt idx="63">
                  <c:v>0.48900000000000016</c:v>
                </c:pt>
                <c:pt idx="64">
                  <c:v>0.49200000000000016</c:v>
                </c:pt>
                <c:pt idx="65">
                  <c:v>0.49500000000000016</c:v>
                </c:pt>
                <c:pt idx="66">
                  <c:v>0.49800000000000016</c:v>
                </c:pt>
                <c:pt idx="67">
                  <c:v>0.50100000000000011</c:v>
                </c:pt>
                <c:pt idx="68">
                  <c:v>0.50400000000000011</c:v>
                </c:pt>
                <c:pt idx="69">
                  <c:v>0.50700000000000012</c:v>
                </c:pt>
                <c:pt idx="70">
                  <c:v>0.51000000000000012</c:v>
                </c:pt>
                <c:pt idx="71">
                  <c:v>0.51300000000000012</c:v>
                </c:pt>
                <c:pt idx="72">
                  <c:v>0.51600000000000013</c:v>
                </c:pt>
                <c:pt idx="73">
                  <c:v>0.51900000000000013</c:v>
                </c:pt>
                <c:pt idx="74">
                  <c:v>0.52200000000000013</c:v>
                </c:pt>
                <c:pt idx="75">
                  <c:v>0.52500000000000013</c:v>
                </c:pt>
                <c:pt idx="76">
                  <c:v>0.52800000000000014</c:v>
                </c:pt>
                <c:pt idx="77">
                  <c:v>0.53100000000000014</c:v>
                </c:pt>
                <c:pt idx="78">
                  <c:v>0.53400000000000014</c:v>
                </c:pt>
                <c:pt idx="79">
                  <c:v>0.53700000000000014</c:v>
                </c:pt>
                <c:pt idx="80">
                  <c:v>0.54000000000000015</c:v>
                </c:pt>
                <c:pt idx="81">
                  <c:v>0.54300000000000015</c:v>
                </c:pt>
                <c:pt idx="82">
                  <c:v>0.54600000000000015</c:v>
                </c:pt>
                <c:pt idx="83">
                  <c:v>0.54900000000000015</c:v>
                </c:pt>
                <c:pt idx="84">
                  <c:v>0.55200000000000016</c:v>
                </c:pt>
                <c:pt idx="85">
                  <c:v>0.55500000000000016</c:v>
                </c:pt>
                <c:pt idx="86">
                  <c:v>0.55800000000000016</c:v>
                </c:pt>
                <c:pt idx="87">
                  <c:v>0.56100000000000017</c:v>
                </c:pt>
                <c:pt idx="88">
                  <c:v>0.56400000000000017</c:v>
                </c:pt>
                <c:pt idx="89">
                  <c:v>0.56700000000000017</c:v>
                </c:pt>
                <c:pt idx="90">
                  <c:v>0.57000000000000017</c:v>
                </c:pt>
                <c:pt idx="91">
                  <c:v>0.57300000000000018</c:v>
                </c:pt>
                <c:pt idx="92">
                  <c:v>0.57600000000000018</c:v>
                </c:pt>
                <c:pt idx="93">
                  <c:v>0.57900000000000018</c:v>
                </c:pt>
                <c:pt idx="94">
                  <c:v>0.58200000000000018</c:v>
                </c:pt>
                <c:pt idx="95">
                  <c:v>0.58500000000000019</c:v>
                </c:pt>
                <c:pt idx="96">
                  <c:v>0.58800000000000019</c:v>
                </c:pt>
                <c:pt idx="97">
                  <c:v>0.59100000000000019</c:v>
                </c:pt>
                <c:pt idx="98">
                  <c:v>0.59400000000000019</c:v>
                </c:pt>
                <c:pt idx="99">
                  <c:v>0.5970000000000002</c:v>
                </c:pt>
              </c:numCache>
            </c:numRef>
          </c:xVal>
          <c:yVal>
            <c:numRef>
              <c:f>Calc_Area!$F$1242:$F$1341</c:f>
              <c:numCache>
                <c:formatCode>General</c:formatCode>
                <c:ptCount val="100"/>
                <c:pt idx="0">
                  <c:v>0</c:v>
                </c:pt>
                <c:pt idx="1">
                  <c:v>3.3333333333333335</c:v>
                </c:pt>
                <c:pt idx="2">
                  <c:v>3.3333333333333335</c:v>
                </c:pt>
                <c:pt idx="3">
                  <c:v>3.3333333333333335</c:v>
                </c:pt>
                <c:pt idx="4">
                  <c:v>3.3333333333333335</c:v>
                </c:pt>
                <c:pt idx="5">
                  <c:v>3.3333333333333335</c:v>
                </c:pt>
                <c:pt idx="6">
                  <c:v>3.3333333333333335</c:v>
                </c:pt>
                <c:pt idx="7">
                  <c:v>3.3333333333333335</c:v>
                </c:pt>
                <c:pt idx="8">
                  <c:v>3.3333333333333335</c:v>
                </c:pt>
                <c:pt idx="9">
                  <c:v>3.3333333333333335</c:v>
                </c:pt>
                <c:pt idx="10">
                  <c:v>3.3333333333333335</c:v>
                </c:pt>
                <c:pt idx="11">
                  <c:v>3.3333333333333335</c:v>
                </c:pt>
                <c:pt idx="12">
                  <c:v>3.3333333333333335</c:v>
                </c:pt>
                <c:pt idx="13">
                  <c:v>3.3333333333333335</c:v>
                </c:pt>
                <c:pt idx="14">
                  <c:v>3.3333333333333335</c:v>
                </c:pt>
                <c:pt idx="15">
                  <c:v>3.3333333333333335</c:v>
                </c:pt>
                <c:pt idx="16">
                  <c:v>3.3333333333333335</c:v>
                </c:pt>
                <c:pt idx="17">
                  <c:v>3.3333333333333335</c:v>
                </c:pt>
                <c:pt idx="18">
                  <c:v>3.3333333333333335</c:v>
                </c:pt>
                <c:pt idx="19">
                  <c:v>3.3333333333333335</c:v>
                </c:pt>
                <c:pt idx="20">
                  <c:v>3.3333333333333335</c:v>
                </c:pt>
                <c:pt idx="21">
                  <c:v>3.3333333333333335</c:v>
                </c:pt>
                <c:pt idx="22">
                  <c:v>3.3333333333333335</c:v>
                </c:pt>
                <c:pt idx="23">
                  <c:v>3.3333333333333335</c:v>
                </c:pt>
                <c:pt idx="24">
                  <c:v>3.3333333333333335</c:v>
                </c:pt>
                <c:pt idx="25">
                  <c:v>3.3333333333333335</c:v>
                </c:pt>
                <c:pt idx="26">
                  <c:v>3.3333333333333335</c:v>
                </c:pt>
                <c:pt idx="27">
                  <c:v>3.3333333333333335</c:v>
                </c:pt>
                <c:pt idx="28">
                  <c:v>3.3333333333333335</c:v>
                </c:pt>
                <c:pt idx="29">
                  <c:v>3.3333333333333335</c:v>
                </c:pt>
                <c:pt idx="30">
                  <c:v>3.3333333333333335</c:v>
                </c:pt>
                <c:pt idx="31">
                  <c:v>3.3333333333333335</c:v>
                </c:pt>
                <c:pt idx="32">
                  <c:v>3.3333333333333335</c:v>
                </c:pt>
                <c:pt idx="33">
                  <c:v>3.3333333333333335</c:v>
                </c:pt>
                <c:pt idx="34">
                  <c:v>3.3333333333333335</c:v>
                </c:pt>
                <c:pt idx="35">
                  <c:v>3.3333333333333335</c:v>
                </c:pt>
                <c:pt idx="36">
                  <c:v>3.3333333333333335</c:v>
                </c:pt>
                <c:pt idx="37">
                  <c:v>3.3333333333333335</c:v>
                </c:pt>
                <c:pt idx="38">
                  <c:v>3.3333333333333335</c:v>
                </c:pt>
                <c:pt idx="39">
                  <c:v>3.3333333333333335</c:v>
                </c:pt>
                <c:pt idx="40">
                  <c:v>3.3333333333333335</c:v>
                </c:pt>
                <c:pt idx="41">
                  <c:v>3.3333333333333335</c:v>
                </c:pt>
                <c:pt idx="42">
                  <c:v>3.3333333333333335</c:v>
                </c:pt>
                <c:pt idx="43">
                  <c:v>3.3333333333333335</c:v>
                </c:pt>
                <c:pt idx="44">
                  <c:v>3.3333333333333335</c:v>
                </c:pt>
                <c:pt idx="45">
                  <c:v>3.3333333333333335</c:v>
                </c:pt>
                <c:pt idx="46">
                  <c:v>3.3333333333333335</c:v>
                </c:pt>
                <c:pt idx="47">
                  <c:v>3.3333333333333335</c:v>
                </c:pt>
                <c:pt idx="48">
                  <c:v>3.3333333333333335</c:v>
                </c:pt>
                <c:pt idx="49">
                  <c:v>3.3333333333333335</c:v>
                </c:pt>
                <c:pt idx="50">
                  <c:v>3.3333333333333335</c:v>
                </c:pt>
                <c:pt idx="51">
                  <c:v>3.3333333333333335</c:v>
                </c:pt>
                <c:pt idx="52">
                  <c:v>3.3333333333333335</c:v>
                </c:pt>
                <c:pt idx="53">
                  <c:v>3.3333333333333335</c:v>
                </c:pt>
                <c:pt idx="54">
                  <c:v>3.3333333333333335</c:v>
                </c:pt>
                <c:pt idx="55">
                  <c:v>3.3333333333333335</c:v>
                </c:pt>
                <c:pt idx="56">
                  <c:v>3.3333333333333335</c:v>
                </c:pt>
                <c:pt idx="57">
                  <c:v>3.3333333333333335</c:v>
                </c:pt>
                <c:pt idx="58">
                  <c:v>3.3333333333333335</c:v>
                </c:pt>
                <c:pt idx="59">
                  <c:v>3.3333333333333335</c:v>
                </c:pt>
                <c:pt idx="60">
                  <c:v>3.3333333333333335</c:v>
                </c:pt>
                <c:pt idx="61">
                  <c:v>3.3333333333333335</c:v>
                </c:pt>
                <c:pt idx="62">
                  <c:v>3.3333333333333335</c:v>
                </c:pt>
                <c:pt idx="63">
                  <c:v>3.3333333333333335</c:v>
                </c:pt>
                <c:pt idx="64">
                  <c:v>3.3333333333333335</c:v>
                </c:pt>
                <c:pt idx="65">
                  <c:v>3.3333333333333335</c:v>
                </c:pt>
                <c:pt idx="66">
                  <c:v>3.3333333333333335</c:v>
                </c:pt>
                <c:pt idx="67">
                  <c:v>3.3333333333333335</c:v>
                </c:pt>
                <c:pt idx="68">
                  <c:v>3.3333333333333335</c:v>
                </c:pt>
                <c:pt idx="69">
                  <c:v>3.3333333333333335</c:v>
                </c:pt>
                <c:pt idx="70">
                  <c:v>3.3333333333333335</c:v>
                </c:pt>
                <c:pt idx="71">
                  <c:v>3.3333333333333335</c:v>
                </c:pt>
                <c:pt idx="72">
                  <c:v>3.3333333333333335</c:v>
                </c:pt>
                <c:pt idx="73">
                  <c:v>3.3333333333333335</c:v>
                </c:pt>
                <c:pt idx="74">
                  <c:v>3.3333333333333335</c:v>
                </c:pt>
                <c:pt idx="75">
                  <c:v>3.3333333333333335</c:v>
                </c:pt>
                <c:pt idx="76">
                  <c:v>3.3333333333333335</c:v>
                </c:pt>
                <c:pt idx="77">
                  <c:v>3.3333333333333335</c:v>
                </c:pt>
                <c:pt idx="78">
                  <c:v>3.3333333333333335</c:v>
                </c:pt>
                <c:pt idx="79">
                  <c:v>3.3333333333333335</c:v>
                </c:pt>
                <c:pt idx="80">
                  <c:v>3.3333333333333335</c:v>
                </c:pt>
                <c:pt idx="81">
                  <c:v>3.3333333333333335</c:v>
                </c:pt>
                <c:pt idx="82">
                  <c:v>3.3333333333333335</c:v>
                </c:pt>
                <c:pt idx="83">
                  <c:v>3.3333333333333335</c:v>
                </c:pt>
                <c:pt idx="84">
                  <c:v>3.3333333333333335</c:v>
                </c:pt>
                <c:pt idx="85">
                  <c:v>3.3333333333333335</c:v>
                </c:pt>
                <c:pt idx="86">
                  <c:v>3.3333333333333335</c:v>
                </c:pt>
                <c:pt idx="87">
                  <c:v>3.3333333333333335</c:v>
                </c:pt>
                <c:pt idx="88">
                  <c:v>3.3333333333333335</c:v>
                </c:pt>
                <c:pt idx="89">
                  <c:v>3.3333333333333335</c:v>
                </c:pt>
                <c:pt idx="90">
                  <c:v>3.3333333333333335</c:v>
                </c:pt>
                <c:pt idx="91">
                  <c:v>3.3333333333333335</c:v>
                </c:pt>
                <c:pt idx="92">
                  <c:v>3.3333333333333335</c:v>
                </c:pt>
                <c:pt idx="93">
                  <c:v>3.3333333333333335</c:v>
                </c:pt>
                <c:pt idx="94">
                  <c:v>3.3333333333333335</c:v>
                </c:pt>
                <c:pt idx="95">
                  <c:v>3.3333333333333335</c:v>
                </c:pt>
                <c:pt idx="96">
                  <c:v>3.3333333333333335</c:v>
                </c:pt>
                <c:pt idx="97">
                  <c:v>3.3333333333333335</c:v>
                </c:pt>
                <c:pt idx="98">
                  <c:v>3.3333333333333335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6E-49D8-8CFE-ED86DF3C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470016"/>
        <c:axId val="645470408"/>
      </c:scatterChart>
      <c:valAx>
        <c:axId val="64547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645470408"/>
        <c:crosses val="autoZero"/>
        <c:crossBetween val="midCat"/>
      </c:valAx>
      <c:valAx>
        <c:axId val="645470408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645470016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8180426310348"/>
          <c:y val="5.0011349932609792E-2"/>
          <c:w val="0.7747467291020439"/>
          <c:h val="0.77939561608853702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Calc_Area!$E$1242:$E$1341</c:f>
              <c:numCache>
                <c:formatCode>0.0E+00</c:formatCode>
                <c:ptCount val="100"/>
                <c:pt idx="0">
                  <c:v>0.30299999999999999</c:v>
                </c:pt>
                <c:pt idx="1">
                  <c:v>0.30299999999999999</c:v>
                </c:pt>
                <c:pt idx="2">
                  <c:v>0.30599999999999999</c:v>
                </c:pt>
                <c:pt idx="3">
                  <c:v>0.309</c:v>
                </c:pt>
                <c:pt idx="4">
                  <c:v>0.312</c:v>
                </c:pt>
                <c:pt idx="5">
                  <c:v>0.315</c:v>
                </c:pt>
                <c:pt idx="6">
                  <c:v>0.318</c:v>
                </c:pt>
                <c:pt idx="7">
                  <c:v>0.32100000000000001</c:v>
                </c:pt>
                <c:pt idx="8">
                  <c:v>0.32400000000000001</c:v>
                </c:pt>
                <c:pt idx="9">
                  <c:v>0.32700000000000001</c:v>
                </c:pt>
                <c:pt idx="10">
                  <c:v>0.33</c:v>
                </c:pt>
                <c:pt idx="11">
                  <c:v>0.33300000000000002</c:v>
                </c:pt>
                <c:pt idx="12">
                  <c:v>0.33600000000000002</c:v>
                </c:pt>
                <c:pt idx="13">
                  <c:v>0.33900000000000002</c:v>
                </c:pt>
                <c:pt idx="14">
                  <c:v>0.34200000000000003</c:v>
                </c:pt>
                <c:pt idx="15">
                  <c:v>0.34500000000000003</c:v>
                </c:pt>
                <c:pt idx="16">
                  <c:v>0.34800000000000003</c:v>
                </c:pt>
                <c:pt idx="17">
                  <c:v>0.35100000000000003</c:v>
                </c:pt>
                <c:pt idx="18">
                  <c:v>0.35400000000000004</c:v>
                </c:pt>
                <c:pt idx="19">
                  <c:v>0.35700000000000004</c:v>
                </c:pt>
                <c:pt idx="20">
                  <c:v>0.36000000000000004</c:v>
                </c:pt>
                <c:pt idx="21">
                  <c:v>0.36300000000000004</c:v>
                </c:pt>
                <c:pt idx="22">
                  <c:v>0.36600000000000005</c:v>
                </c:pt>
                <c:pt idx="23">
                  <c:v>0.36900000000000005</c:v>
                </c:pt>
                <c:pt idx="24">
                  <c:v>0.37200000000000005</c:v>
                </c:pt>
                <c:pt idx="25">
                  <c:v>0.37500000000000006</c:v>
                </c:pt>
                <c:pt idx="26">
                  <c:v>0.37800000000000006</c:v>
                </c:pt>
                <c:pt idx="27">
                  <c:v>0.38100000000000006</c:v>
                </c:pt>
                <c:pt idx="28">
                  <c:v>0.38400000000000006</c:v>
                </c:pt>
                <c:pt idx="29">
                  <c:v>0.38700000000000007</c:v>
                </c:pt>
                <c:pt idx="30">
                  <c:v>0.39000000000000007</c:v>
                </c:pt>
                <c:pt idx="31">
                  <c:v>0.39300000000000007</c:v>
                </c:pt>
                <c:pt idx="32">
                  <c:v>0.39600000000000007</c:v>
                </c:pt>
                <c:pt idx="33">
                  <c:v>0.39900000000000008</c:v>
                </c:pt>
                <c:pt idx="34">
                  <c:v>0.40200000000000008</c:v>
                </c:pt>
                <c:pt idx="35">
                  <c:v>0.40500000000000008</c:v>
                </c:pt>
                <c:pt idx="36">
                  <c:v>0.40800000000000008</c:v>
                </c:pt>
                <c:pt idx="37">
                  <c:v>0.41100000000000009</c:v>
                </c:pt>
                <c:pt idx="38">
                  <c:v>0.41400000000000009</c:v>
                </c:pt>
                <c:pt idx="39">
                  <c:v>0.41700000000000009</c:v>
                </c:pt>
                <c:pt idx="40">
                  <c:v>0.4200000000000001</c:v>
                </c:pt>
                <c:pt idx="41">
                  <c:v>0.4230000000000001</c:v>
                </c:pt>
                <c:pt idx="42">
                  <c:v>0.4260000000000001</c:v>
                </c:pt>
                <c:pt idx="43">
                  <c:v>0.4290000000000001</c:v>
                </c:pt>
                <c:pt idx="44">
                  <c:v>0.43200000000000011</c:v>
                </c:pt>
                <c:pt idx="45">
                  <c:v>0.43500000000000011</c:v>
                </c:pt>
                <c:pt idx="46">
                  <c:v>0.43800000000000011</c:v>
                </c:pt>
                <c:pt idx="47">
                  <c:v>0.44100000000000011</c:v>
                </c:pt>
                <c:pt idx="48">
                  <c:v>0.44400000000000012</c:v>
                </c:pt>
                <c:pt idx="49">
                  <c:v>0.44700000000000012</c:v>
                </c:pt>
                <c:pt idx="50">
                  <c:v>0.45000000000000012</c:v>
                </c:pt>
                <c:pt idx="51">
                  <c:v>0.45300000000000012</c:v>
                </c:pt>
                <c:pt idx="52">
                  <c:v>0.45600000000000013</c:v>
                </c:pt>
                <c:pt idx="53">
                  <c:v>0.45900000000000013</c:v>
                </c:pt>
                <c:pt idx="54">
                  <c:v>0.46200000000000013</c:v>
                </c:pt>
                <c:pt idx="55">
                  <c:v>0.46500000000000014</c:v>
                </c:pt>
                <c:pt idx="56">
                  <c:v>0.46800000000000014</c:v>
                </c:pt>
                <c:pt idx="57">
                  <c:v>0.47100000000000014</c:v>
                </c:pt>
                <c:pt idx="58">
                  <c:v>0.47400000000000014</c:v>
                </c:pt>
                <c:pt idx="59">
                  <c:v>0.47700000000000015</c:v>
                </c:pt>
                <c:pt idx="60">
                  <c:v>0.48000000000000015</c:v>
                </c:pt>
                <c:pt idx="61">
                  <c:v>0.48300000000000015</c:v>
                </c:pt>
                <c:pt idx="62">
                  <c:v>0.48600000000000015</c:v>
                </c:pt>
                <c:pt idx="63">
                  <c:v>0.48900000000000016</c:v>
                </c:pt>
                <c:pt idx="64">
                  <c:v>0.49200000000000016</c:v>
                </c:pt>
                <c:pt idx="65">
                  <c:v>0.49500000000000016</c:v>
                </c:pt>
                <c:pt idx="66">
                  <c:v>0.49800000000000016</c:v>
                </c:pt>
                <c:pt idx="67">
                  <c:v>0.50100000000000011</c:v>
                </c:pt>
                <c:pt idx="68">
                  <c:v>0.50400000000000011</c:v>
                </c:pt>
                <c:pt idx="69">
                  <c:v>0.50700000000000012</c:v>
                </c:pt>
                <c:pt idx="70">
                  <c:v>0.51000000000000012</c:v>
                </c:pt>
                <c:pt idx="71">
                  <c:v>0.51300000000000012</c:v>
                </c:pt>
                <c:pt idx="72">
                  <c:v>0.51600000000000013</c:v>
                </c:pt>
                <c:pt idx="73">
                  <c:v>0.51900000000000013</c:v>
                </c:pt>
                <c:pt idx="74">
                  <c:v>0.52200000000000013</c:v>
                </c:pt>
                <c:pt idx="75">
                  <c:v>0.52500000000000013</c:v>
                </c:pt>
                <c:pt idx="76">
                  <c:v>0.52800000000000014</c:v>
                </c:pt>
                <c:pt idx="77">
                  <c:v>0.53100000000000014</c:v>
                </c:pt>
                <c:pt idx="78">
                  <c:v>0.53400000000000014</c:v>
                </c:pt>
                <c:pt idx="79">
                  <c:v>0.53700000000000014</c:v>
                </c:pt>
                <c:pt idx="80">
                  <c:v>0.54000000000000015</c:v>
                </c:pt>
                <c:pt idx="81">
                  <c:v>0.54300000000000015</c:v>
                </c:pt>
                <c:pt idx="82">
                  <c:v>0.54600000000000015</c:v>
                </c:pt>
                <c:pt idx="83">
                  <c:v>0.54900000000000015</c:v>
                </c:pt>
                <c:pt idx="84">
                  <c:v>0.55200000000000016</c:v>
                </c:pt>
                <c:pt idx="85">
                  <c:v>0.55500000000000016</c:v>
                </c:pt>
                <c:pt idx="86">
                  <c:v>0.55800000000000016</c:v>
                </c:pt>
                <c:pt idx="87">
                  <c:v>0.56100000000000017</c:v>
                </c:pt>
                <c:pt idx="88">
                  <c:v>0.56400000000000017</c:v>
                </c:pt>
                <c:pt idx="89">
                  <c:v>0.56700000000000017</c:v>
                </c:pt>
                <c:pt idx="90">
                  <c:v>0.57000000000000017</c:v>
                </c:pt>
                <c:pt idx="91">
                  <c:v>0.57300000000000018</c:v>
                </c:pt>
                <c:pt idx="92">
                  <c:v>0.57600000000000018</c:v>
                </c:pt>
                <c:pt idx="93">
                  <c:v>0.57900000000000018</c:v>
                </c:pt>
                <c:pt idx="94">
                  <c:v>0.58200000000000018</c:v>
                </c:pt>
                <c:pt idx="95">
                  <c:v>0.58500000000000019</c:v>
                </c:pt>
                <c:pt idx="96">
                  <c:v>0.58800000000000019</c:v>
                </c:pt>
                <c:pt idx="97">
                  <c:v>0.59100000000000019</c:v>
                </c:pt>
                <c:pt idx="98">
                  <c:v>0.59400000000000019</c:v>
                </c:pt>
                <c:pt idx="99">
                  <c:v>0.5970000000000002</c:v>
                </c:pt>
              </c:numCache>
            </c:numRef>
          </c:xVal>
          <c:yVal>
            <c:numRef>
              <c:f>Calc_Area!$H$1242:$H$1341</c:f>
              <c:numCache>
                <c:formatCode>General</c:formatCode>
                <c:ptCount val="100"/>
                <c:pt idx="0">
                  <c:v>1.0000000000000009E-2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3.0000000000000027E-2</c:v>
                </c:pt>
                <c:pt idx="4">
                  <c:v>4.0000000000000036E-2</c:v>
                </c:pt>
                <c:pt idx="5">
                  <c:v>5.0000000000000044E-2</c:v>
                </c:pt>
                <c:pt idx="6">
                  <c:v>6.0000000000000053E-2</c:v>
                </c:pt>
                <c:pt idx="7">
                  <c:v>7.0000000000000062E-2</c:v>
                </c:pt>
                <c:pt idx="8">
                  <c:v>8.0000000000000071E-2</c:v>
                </c:pt>
                <c:pt idx="9">
                  <c:v>9.000000000000008E-2</c:v>
                </c:pt>
                <c:pt idx="10">
                  <c:v>0.10000000000000009</c:v>
                </c:pt>
                <c:pt idx="11">
                  <c:v>0.1100000000000001</c:v>
                </c:pt>
                <c:pt idx="12">
                  <c:v>0.12000000000000011</c:v>
                </c:pt>
                <c:pt idx="13">
                  <c:v>0.13000000000000012</c:v>
                </c:pt>
                <c:pt idx="14">
                  <c:v>0.14000000000000012</c:v>
                </c:pt>
                <c:pt idx="15">
                  <c:v>0.15000000000000013</c:v>
                </c:pt>
                <c:pt idx="16">
                  <c:v>0.16000000000000014</c:v>
                </c:pt>
                <c:pt idx="17">
                  <c:v>0.17000000000000015</c:v>
                </c:pt>
                <c:pt idx="18">
                  <c:v>0.18000000000000016</c:v>
                </c:pt>
                <c:pt idx="19">
                  <c:v>0.19000000000000017</c:v>
                </c:pt>
                <c:pt idx="20">
                  <c:v>0.20000000000000018</c:v>
                </c:pt>
                <c:pt idx="21">
                  <c:v>0.21000000000000019</c:v>
                </c:pt>
                <c:pt idx="22">
                  <c:v>0.2200000000000002</c:v>
                </c:pt>
                <c:pt idx="23">
                  <c:v>0.2300000000000002</c:v>
                </c:pt>
                <c:pt idx="24">
                  <c:v>0.24000000000000021</c:v>
                </c:pt>
                <c:pt idx="25">
                  <c:v>0.25000000000000022</c:v>
                </c:pt>
                <c:pt idx="26">
                  <c:v>0.26000000000000023</c:v>
                </c:pt>
                <c:pt idx="27">
                  <c:v>0.27000000000000024</c:v>
                </c:pt>
                <c:pt idx="28">
                  <c:v>0.28000000000000025</c:v>
                </c:pt>
                <c:pt idx="29">
                  <c:v>0.29000000000000026</c:v>
                </c:pt>
                <c:pt idx="30">
                  <c:v>0.30000000000000027</c:v>
                </c:pt>
                <c:pt idx="31">
                  <c:v>0.31000000000000028</c:v>
                </c:pt>
                <c:pt idx="32">
                  <c:v>0.32000000000000028</c:v>
                </c:pt>
                <c:pt idx="33">
                  <c:v>0.33000000000000029</c:v>
                </c:pt>
                <c:pt idx="34">
                  <c:v>0.3400000000000003</c:v>
                </c:pt>
                <c:pt idx="35">
                  <c:v>0.35000000000000031</c:v>
                </c:pt>
                <c:pt idx="36">
                  <c:v>0.36000000000000032</c:v>
                </c:pt>
                <c:pt idx="37">
                  <c:v>0.37000000000000033</c:v>
                </c:pt>
                <c:pt idx="38">
                  <c:v>0.38000000000000034</c:v>
                </c:pt>
                <c:pt idx="39">
                  <c:v>0.39000000000000035</c:v>
                </c:pt>
                <c:pt idx="40">
                  <c:v>0.40000000000000036</c:v>
                </c:pt>
                <c:pt idx="41">
                  <c:v>0.41000000000000036</c:v>
                </c:pt>
                <c:pt idx="42">
                  <c:v>0.42000000000000037</c:v>
                </c:pt>
                <c:pt idx="43">
                  <c:v>0.43000000000000038</c:v>
                </c:pt>
                <c:pt idx="44">
                  <c:v>0.44000000000000039</c:v>
                </c:pt>
                <c:pt idx="45">
                  <c:v>0.4500000000000004</c:v>
                </c:pt>
                <c:pt idx="46">
                  <c:v>0.46000000000000041</c:v>
                </c:pt>
                <c:pt idx="47">
                  <c:v>0.47000000000000042</c:v>
                </c:pt>
                <c:pt idx="48">
                  <c:v>0.48000000000000043</c:v>
                </c:pt>
                <c:pt idx="49">
                  <c:v>0.49000000000000044</c:v>
                </c:pt>
                <c:pt idx="50">
                  <c:v>0.50000000000000044</c:v>
                </c:pt>
                <c:pt idx="51">
                  <c:v>0.51000000000000045</c:v>
                </c:pt>
                <c:pt idx="52">
                  <c:v>0.52000000000000046</c:v>
                </c:pt>
                <c:pt idx="53">
                  <c:v>0.53000000000000047</c:v>
                </c:pt>
                <c:pt idx="54">
                  <c:v>0.54000000000000048</c:v>
                </c:pt>
                <c:pt idx="55">
                  <c:v>0.55000000000000049</c:v>
                </c:pt>
                <c:pt idx="56">
                  <c:v>0.5600000000000005</c:v>
                </c:pt>
                <c:pt idx="57">
                  <c:v>0.57000000000000051</c:v>
                </c:pt>
                <c:pt idx="58">
                  <c:v>0.58000000000000052</c:v>
                </c:pt>
                <c:pt idx="59">
                  <c:v>0.59000000000000052</c:v>
                </c:pt>
                <c:pt idx="60">
                  <c:v>0.60000000000000053</c:v>
                </c:pt>
                <c:pt idx="61">
                  <c:v>0.61000000000000054</c:v>
                </c:pt>
                <c:pt idx="62">
                  <c:v>0.62000000000000055</c:v>
                </c:pt>
                <c:pt idx="63">
                  <c:v>0.63000000000000056</c:v>
                </c:pt>
                <c:pt idx="64">
                  <c:v>0.64000000000000057</c:v>
                </c:pt>
                <c:pt idx="65">
                  <c:v>0.65000000000000058</c:v>
                </c:pt>
                <c:pt idx="66">
                  <c:v>0.66000000000000059</c:v>
                </c:pt>
                <c:pt idx="67">
                  <c:v>0.67000000000000048</c:v>
                </c:pt>
                <c:pt idx="68">
                  <c:v>0.68000000000000049</c:v>
                </c:pt>
                <c:pt idx="69">
                  <c:v>0.6900000000000005</c:v>
                </c:pt>
                <c:pt idx="70">
                  <c:v>0.70000000000000051</c:v>
                </c:pt>
                <c:pt idx="71">
                  <c:v>0.71000000000000052</c:v>
                </c:pt>
                <c:pt idx="72">
                  <c:v>0.72000000000000053</c:v>
                </c:pt>
                <c:pt idx="73">
                  <c:v>0.73000000000000054</c:v>
                </c:pt>
                <c:pt idx="74">
                  <c:v>0.74000000000000055</c:v>
                </c:pt>
                <c:pt idx="75">
                  <c:v>0.75000000000000056</c:v>
                </c:pt>
                <c:pt idx="76">
                  <c:v>0.76000000000000056</c:v>
                </c:pt>
                <c:pt idx="77">
                  <c:v>0.77000000000000057</c:v>
                </c:pt>
                <c:pt idx="78">
                  <c:v>0.78000000000000058</c:v>
                </c:pt>
                <c:pt idx="79">
                  <c:v>0.79000000000000059</c:v>
                </c:pt>
                <c:pt idx="80">
                  <c:v>0.8000000000000006</c:v>
                </c:pt>
                <c:pt idx="81">
                  <c:v>0.81000000000000061</c:v>
                </c:pt>
                <c:pt idx="82">
                  <c:v>0.82000000000000062</c:v>
                </c:pt>
                <c:pt idx="83">
                  <c:v>0.83000000000000063</c:v>
                </c:pt>
                <c:pt idx="84">
                  <c:v>0.84000000000000064</c:v>
                </c:pt>
                <c:pt idx="85">
                  <c:v>0.85000000000000064</c:v>
                </c:pt>
                <c:pt idx="86">
                  <c:v>0.86000000000000065</c:v>
                </c:pt>
                <c:pt idx="87">
                  <c:v>0.87000000000000066</c:v>
                </c:pt>
                <c:pt idx="88">
                  <c:v>0.88000000000000067</c:v>
                </c:pt>
                <c:pt idx="89">
                  <c:v>0.89000000000000068</c:v>
                </c:pt>
                <c:pt idx="90">
                  <c:v>0.90000000000000069</c:v>
                </c:pt>
                <c:pt idx="91">
                  <c:v>0.9100000000000007</c:v>
                </c:pt>
                <c:pt idx="92">
                  <c:v>0.92000000000000071</c:v>
                </c:pt>
                <c:pt idx="93">
                  <c:v>0.93000000000000071</c:v>
                </c:pt>
                <c:pt idx="94">
                  <c:v>0.94000000000000072</c:v>
                </c:pt>
                <c:pt idx="95">
                  <c:v>0.95000000000000073</c:v>
                </c:pt>
                <c:pt idx="96">
                  <c:v>0.96000000000000074</c:v>
                </c:pt>
                <c:pt idx="97">
                  <c:v>0.97000000000000075</c:v>
                </c:pt>
                <c:pt idx="98">
                  <c:v>0.98000000000000076</c:v>
                </c:pt>
                <c:pt idx="99">
                  <c:v>0.99000000000000077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AA-4FC5-8294-A0AA4AF66DFD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Calc_Area!$E$1242:$E$1341</c:f>
              <c:numCache>
                <c:formatCode>0.0E+00</c:formatCode>
                <c:ptCount val="100"/>
                <c:pt idx="0">
                  <c:v>0.30299999999999999</c:v>
                </c:pt>
                <c:pt idx="1">
                  <c:v>0.30299999999999999</c:v>
                </c:pt>
                <c:pt idx="2">
                  <c:v>0.30599999999999999</c:v>
                </c:pt>
                <c:pt idx="3">
                  <c:v>0.309</c:v>
                </c:pt>
                <c:pt idx="4">
                  <c:v>0.312</c:v>
                </c:pt>
                <c:pt idx="5">
                  <c:v>0.315</c:v>
                </c:pt>
                <c:pt idx="6">
                  <c:v>0.318</c:v>
                </c:pt>
                <c:pt idx="7">
                  <c:v>0.32100000000000001</c:v>
                </c:pt>
                <c:pt idx="8">
                  <c:v>0.32400000000000001</c:v>
                </c:pt>
                <c:pt idx="9">
                  <c:v>0.32700000000000001</c:v>
                </c:pt>
                <c:pt idx="10">
                  <c:v>0.33</c:v>
                </c:pt>
                <c:pt idx="11">
                  <c:v>0.33300000000000002</c:v>
                </c:pt>
                <c:pt idx="12">
                  <c:v>0.33600000000000002</c:v>
                </c:pt>
                <c:pt idx="13">
                  <c:v>0.33900000000000002</c:v>
                </c:pt>
                <c:pt idx="14">
                  <c:v>0.34200000000000003</c:v>
                </c:pt>
                <c:pt idx="15">
                  <c:v>0.34500000000000003</c:v>
                </c:pt>
                <c:pt idx="16">
                  <c:v>0.34800000000000003</c:v>
                </c:pt>
                <c:pt idx="17">
                  <c:v>0.35100000000000003</c:v>
                </c:pt>
                <c:pt idx="18">
                  <c:v>0.35400000000000004</c:v>
                </c:pt>
                <c:pt idx="19">
                  <c:v>0.35700000000000004</c:v>
                </c:pt>
                <c:pt idx="20">
                  <c:v>0.36000000000000004</c:v>
                </c:pt>
                <c:pt idx="21">
                  <c:v>0.36300000000000004</c:v>
                </c:pt>
                <c:pt idx="22">
                  <c:v>0.36600000000000005</c:v>
                </c:pt>
                <c:pt idx="23">
                  <c:v>0.36900000000000005</c:v>
                </c:pt>
                <c:pt idx="24">
                  <c:v>0.37200000000000005</c:v>
                </c:pt>
                <c:pt idx="25">
                  <c:v>0.37500000000000006</c:v>
                </c:pt>
                <c:pt idx="26">
                  <c:v>0.37800000000000006</c:v>
                </c:pt>
                <c:pt idx="27">
                  <c:v>0.38100000000000006</c:v>
                </c:pt>
                <c:pt idx="28">
                  <c:v>0.38400000000000006</c:v>
                </c:pt>
                <c:pt idx="29">
                  <c:v>0.38700000000000007</c:v>
                </c:pt>
                <c:pt idx="30">
                  <c:v>0.39000000000000007</c:v>
                </c:pt>
                <c:pt idx="31">
                  <c:v>0.39300000000000007</c:v>
                </c:pt>
                <c:pt idx="32">
                  <c:v>0.39600000000000007</c:v>
                </c:pt>
                <c:pt idx="33">
                  <c:v>0.39900000000000008</c:v>
                </c:pt>
                <c:pt idx="34">
                  <c:v>0.40200000000000008</c:v>
                </c:pt>
                <c:pt idx="35">
                  <c:v>0.40500000000000008</c:v>
                </c:pt>
                <c:pt idx="36">
                  <c:v>0.40800000000000008</c:v>
                </c:pt>
                <c:pt idx="37">
                  <c:v>0.41100000000000009</c:v>
                </c:pt>
                <c:pt idx="38">
                  <c:v>0.41400000000000009</c:v>
                </c:pt>
                <c:pt idx="39">
                  <c:v>0.41700000000000009</c:v>
                </c:pt>
                <c:pt idx="40">
                  <c:v>0.4200000000000001</c:v>
                </c:pt>
                <c:pt idx="41">
                  <c:v>0.4230000000000001</c:v>
                </c:pt>
                <c:pt idx="42">
                  <c:v>0.4260000000000001</c:v>
                </c:pt>
                <c:pt idx="43">
                  <c:v>0.4290000000000001</c:v>
                </c:pt>
                <c:pt idx="44">
                  <c:v>0.43200000000000011</c:v>
                </c:pt>
                <c:pt idx="45">
                  <c:v>0.43500000000000011</c:v>
                </c:pt>
                <c:pt idx="46">
                  <c:v>0.43800000000000011</c:v>
                </c:pt>
                <c:pt idx="47">
                  <c:v>0.44100000000000011</c:v>
                </c:pt>
                <c:pt idx="48">
                  <c:v>0.44400000000000012</c:v>
                </c:pt>
                <c:pt idx="49">
                  <c:v>0.44700000000000012</c:v>
                </c:pt>
                <c:pt idx="50">
                  <c:v>0.45000000000000012</c:v>
                </c:pt>
                <c:pt idx="51">
                  <c:v>0.45300000000000012</c:v>
                </c:pt>
                <c:pt idx="52">
                  <c:v>0.45600000000000013</c:v>
                </c:pt>
                <c:pt idx="53">
                  <c:v>0.45900000000000013</c:v>
                </c:pt>
                <c:pt idx="54">
                  <c:v>0.46200000000000013</c:v>
                </c:pt>
                <c:pt idx="55">
                  <c:v>0.46500000000000014</c:v>
                </c:pt>
                <c:pt idx="56">
                  <c:v>0.46800000000000014</c:v>
                </c:pt>
                <c:pt idx="57">
                  <c:v>0.47100000000000014</c:v>
                </c:pt>
                <c:pt idx="58">
                  <c:v>0.47400000000000014</c:v>
                </c:pt>
                <c:pt idx="59">
                  <c:v>0.47700000000000015</c:v>
                </c:pt>
                <c:pt idx="60">
                  <c:v>0.48000000000000015</c:v>
                </c:pt>
                <c:pt idx="61">
                  <c:v>0.48300000000000015</c:v>
                </c:pt>
                <c:pt idx="62">
                  <c:v>0.48600000000000015</c:v>
                </c:pt>
                <c:pt idx="63">
                  <c:v>0.48900000000000016</c:v>
                </c:pt>
                <c:pt idx="64">
                  <c:v>0.49200000000000016</c:v>
                </c:pt>
                <c:pt idx="65">
                  <c:v>0.49500000000000016</c:v>
                </c:pt>
                <c:pt idx="66">
                  <c:v>0.49800000000000016</c:v>
                </c:pt>
                <c:pt idx="67">
                  <c:v>0.50100000000000011</c:v>
                </c:pt>
                <c:pt idx="68">
                  <c:v>0.50400000000000011</c:v>
                </c:pt>
                <c:pt idx="69">
                  <c:v>0.50700000000000012</c:v>
                </c:pt>
                <c:pt idx="70">
                  <c:v>0.51000000000000012</c:v>
                </c:pt>
                <c:pt idx="71">
                  <c:v>0.51300000000000012</c:v>
                </c:pt>
                <c:pt idx="72">
                  <c:v>0.51600000000000013</c:v>
                </c:pt>
                <c:pt idx="73">
                  <c:v>0.51900000000000013</c:v>
                </c:pt>
                <c:pt idx="74">
                  <c:v>0.52200000000000013</c:v>
                </c:pt>
                <c:pt idx="75">
                  <c:v>0.52500000000000013</c:v>
                </c:pt>
                <c:pt idx="76">
                  <c:v>0.52800000000000014</c:v>
                </c:pt>
                <c:pt idx="77">
                  <c:v>0.53100000000000014</c:v>
                </c:pt>
                <c:pt idx="78">
                  <c:v>0.53400000000000014</c:v>
                </c:pt>
                <c:pt idx="79">
                  <c:v>0.53700000000000014</c:v>
                </c:pt>
                <c:pt idx="80">
                  <c:v>0.54000000000000015</c:v>
                </c:pt>
                <c:pt idx="81">
                  <c:v>0.54300000000000015</c:v>
                </c:pt>
                <c:pt idx="82">
                  <c:v>0.54600000000000015</c:v>
                </c:pt>
                <c:pt idx="83">
                  <c:v>0.54900000000000015</c:v>
                </c:pt>
                <c:pt idx="84">
                  <c:v>0.55200000000000016</c:v>
                </c:pt>
                <c:pt idx="85">
                  <c:v>0.55500000000000016</c:v>
                </c:pt>
                <c:pt idx="86">
                  <c:v>0.55800000000000016</c:v>
                </c:pt>
                <c:pt idx="87">
                  <c:v>0.56100000000000017</c:v>
                </c:pt>
                <c:pt idx="88">
                  <c:v>0.56400000000000017</c:v>
                </c:pt>
                <c:pt idx="89">
                  <c:v>0.56700000000000017</c:v>
                </c:pt>
                <c:pt idx="90">
                  <c:v>0.57000000000000017</c:v>
                </c:pt>
                <c:pt idx="91">
                  <c:v>0.57300000000000018</c:v>
                </c:pt>
                <c:pt idx="92">
                  <c:v>0.57600000000000018</c:v>
                </c:pt>
                <c:pt idx="93">
                  <c:v>0.57900000000000018</c:v>
                </c:pt>
                <c:pt idx="94">
                  <c:v>0.58200000000000018</c:v>
                </c:pt>
                <c:pt idx="95">
                  <c:v>0.58500000000000019</c:v>
                </c:pt>
                <c:pt idx="96">
                  <c:v>0.58800000000000019</c:v>
                </c:pt>
                <c:pt idx="97">
                  <c:v>0.59100000000000019</c:v>
                </c:pt>
                <c:pt idx="98">
                  <c:v>0.59400000000000019</c:v>
                </c:pt>
                <c:pt idx="99">
                  <c:v>0.5970000000000002</c:v>
                </c:pt>
              </c:numCache>
            </c:numRef>
          </c:xVal>
          <c:yVal>
            <c:numRef>
              <c:f>Calc_Area!$I$1242:$I$1341</c:f>
              <c:numCache>
                <c:formatCode>General</c:formatCode>
                <c:ptCount val="100"/>
                <c:pt idx="0">
                  <c:v>1.0000000000000009E-2</c:v>
                </c:pt>
                <c:pt idx="1">
                  <c:v>1.0000000000000009E-2</c:v>
                </c:pt>
                <c:pt idx="2">
                  <c:v>2.0000000000000018E-2</c:v>
                </c:pt>
                <c:pt idx="3">
                  <c:v>3.0000000000000027E-2</c:v>
                </c:pt>
                <c:pt idx="4">
                  <c:v>4.0000000000000036E-2</c:v>
                </c:pt>
                <c:pt idx="5">
                  <c:v>5.0000000000000044E-2</c:v>
                </c:pt>
                <c:pt idx="6">
                  <c:v>6.0000000000000053E-2</c:v>
                </c:pt>
                <c:pt idx="7">
                  <c:v>7.0000000000000062E-2</c:v>
                </c:pt>
                <c:pt idx="8">
                  <c:v>8.0000000000000071E-2</c:v>
                </c:pt>
                <c:pt idx="9">
                  <c:v>9.000000000000008E-2</c:v>
                </c:pt>
                <c:pt idx="10">
                  <c:v>0.10000000000000009</c:v>
                </c:pt>
                <c:pt idx="11">
                  <c:v>0.1100000000000001</c:v>
                </c:pt>
                <c:pt idx="12">
                  <c:v>0.12000000000000011</c:v>
                </c:pt>
                <c:pt idx="13">
                  <c:v>0.13000000000000012</c:v>
                </c:pt>
                <c:pt idx="14">
                  <c:v>0.14000000000000012</c:v>
                </c:pt>
                <c:pt idx="15">
                  <c:v>0.15000000000000013</c:v>
                </c:pt>
                <c:pt idx="16">
                  <c:v>0.16000000000000014</c:v>
                </c:pt>
                <c:pt idx="17">
                  <c:v>0.17000000000000015</c:v>
                </c:pt>
                <c:pt idx="18">
                  <c:v>0.18000000000000016</c:v>
                </c:pt>
                <c:pt idx="19">
                  <c:v>0.19000000000000017</c:v>
                </c:pt>
                <c:pt idx="20">
                  <c:v>0.20000000000000018</c:v>
                </c:pt>
                <c:pt idx="21">
                  <c:v>0.21000000000000019</c:v>
                </c:pt>
                <c:pt idx="22">
                  <c:v>0.2200000000000002</c:v>
                </c:pt>
                <c:pt idx="23">
                  <c:v>0.2300000000000002</c:v>
                </c:pt>
                <c:pt idx="24">
                  <c:v>0.24000000000000021</c:v>
                </c:pt>
                <c:pt idx="25">
                  <c:v>0.25000000000000022</c:v>
                </c:pt>
                <c:pt idx="26">
                  <c:v>0.26000000000000023</c:v>
                </c:pt>
                <c:pt idx="27">
                  <c:v>0.27000000000000024</c:v>
                </c:pt>
                <c:pt idx="28">
                  <c:v>0.28000000000000025</c:v>
                </c:pt>
                <c:pt idx="29">
                  <c:v>0.29000000000000026</c:v>
                </c:pt>
                <c:pt idx="30">
                  <c:v>0.30000000000000027</c:v>
                </c:pt>
                <c:pt idx="31">
                  <c:v>0.31000000000000028</c:v>
                </c:pt>
                <c:pt idx="32">
                  <c:v>0.32000000000000028</c:v>
                </c:pt>
                <c:pt idx="33">
                  <c:v>0.33000000000000029</c:v>
                </c:pt>
                <c:pt idx="34">
                  <c:v>0.3400000000000003</c:v>
                </c:pt>
                <c:pt idx="35">
                  <c:v>0.35000000000000031</c:v>
                </c:pt>
                <c:pt idx="36">
                  <c:v>0.36000000000000032</c:v>
                </c:pt>
                <c:pt idx="37">
                  <c:v>0.37000000000000033</c:v>
                </c:pt>
                <c:pt idx="38">
                  <c:v>0.38000000000000034</c:v>
                </c:pt>
                <c:pt idx="39">
                  <c:v>0.39000000000000035</c:v>
                </c:pt>
                <c:pt idx="40">
                  <c:v>0.40000000000000036</c:v>
                </c:pt>
                <c:pt idx="41">
                  <c:v>0.41000000000000036</c:v>
                </c:pt>
                <c:pt idx="42">
                  <c:v>0.42000000000000037</c:v>
                </c:pt>
                <c:pt idx="43">
                  <c:v>0.43000000000000038</c:v>
                </c:pt>
                <c:pt idx="44">
                  <c:v>0.44000000000000039</c:v>
                </c:pt>
                <c:pt idx="45">
                  <c:v>0.4500000000000004</c:v>
                </c:pt>
                <c:pt idx="46">
                  <c:v>0.46000000000000041</c:v>
                </c:pt>
                <c:pt idx="47">
                  <c:v>0.47000000000000042</c:v>
                </c:pt>
                <c:pt idx="48">
                  <c:v>0.48000000000000043</c:v>
                </c:pt>
                <c:pt idx="49">
                  <c:v>0.49000000000000044</c:v>
                </c:pt>
                <c:pt idx="50">
                  <c:v>0.50000000000000044</c:v>
                </c:pt>
                <c:pt idx="51">
                  <c:v>0.51000000000000045</c:v>
                </c:pt>
                <c:pt idx="52">
                  <c:v>0.52000000000000046</c:v>
                </c:pt>
                <c:pt idx="53">
                  <c:v>0.53000000000000047</c:v>
                </c:pt>
                <c:pt idx="54">
                  <c:v>0.54000000000000048</c:v>
                </c:pt>
                <c:pt idx="55">
                  <c:v>0.55000000000000049</c:v>
                </c:pt>
                <c:pt idx="56">
                  <c:v>0.5600000000000005</c:v>
                </c:pt>
                <c:pt idx="57">
                  <c:v>0.57000000000000051</c:v>
                </c:pt>
                <c:pt idx="58">
                  <c:v>0.58000000000000052</c:v>
                </c:pt>
                <c:pt idx="59">
                  <c:v>0.59000000000000052</c:v>
                </c:pt>
                <c:pt idx="60">
                  <c:v>0.60000000000000053</c:v>
                </c:pt>
                <c:pt idx="61">
                  <c:v>0.61000000000000054</c:v>
                </c:pt>
                <c:pt idx="62">
                  <c:v>0.62000000000000055</c:v>
                </c:pt>
                <c:pt idx="63">
                  <c:v>0.63000000000000056</c:v>
                </c:pt>
                <c:pt idx="64">
                  <c:v>0.64000000000000057</c:v>
                </c:pt>
                <c:pt idx="65">
                  <c:v>0.65000000000000058</c:v>
                </c:pt>
                <c:pt idx="66">
                  <c:v>0.66000000000000059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AA-4FC5-8294-A0AA4AF66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471192"/>
        <c:axId val="645471584"/>
      </c:scatterChart>
      <c:valAx>
        <c:axId val="64547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645471584"/>
        <c:crosses val="autoZero"/>
        <c:crossBetween val="midCat"/>
      </c:valAx>
      <c:valAx>
        <c:axId val="645471584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F(x) = Pr(X ≤ x)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645471192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Calc_Area!$P$112:$P$118</c:f>
              <c:strCache>
                <c:ptCount val="7"/>
                <c:pt idx="0">
                  <c:v>0.0</c:v>
                </c:pt>
                <c:pt idx="3">
                  <c:v>0.5</c:v>
                </c:pt>
                <c:pt idx="6">
                  <c:v>1.0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Calc_Area!$P$112:$P$118</c:f>
              <c:numCache>
                <c:formatCode>General</c:formatCode>
                <c:ptCount val="7"/>
                <c:pt idx="0" formatCode="0.0">
                  <c:v>0</c:v>
                </c:pt>
                <c:pt idx="3" formatCode="0.0">
                  <c:v>0.5</c:v>
                </c:pt>
                <c:pt idx="6" formatCode="0.0">
                  <c:v>1</c:v>
                </c:pt>
              </c:numCache>
            </c:numRef>
          </c:cat>
          <c:val>
            <c:numRef>
              <c:f>Calc_Area!$N$112:$N$118</c:f>
              <c:numCache>
                <c:formatCode>General</c:formatCode>
                <c:ptCount val="7"/>
                <c:pt idx="0">
                  <c:v>76</c:v>
                </c:pt>
                <c:pt idx="1">
                  <c:v>19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0A-4265-93BF-648B40926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449333528"/>
        <c:axId val="449333920"/>
      </c:barChart>
      <c:catAx>
        <c:axId val="44933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9333920"/>
        <c:crosses val="autoZero"/>
        <c:auto val="0"/>
        <c:lblAlgn val="ctr"/>
        <c:lblOffset val="100"/>
        <c:tickMarkSkip val="6"/>
        <c:noMultiLvlLbl val="0"/>
      </c:catAx>
      <c:valAx>
        <c:axId val="449333920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449333528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72"/>
          <c:h val="0.7793956160885378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38100">
                <a:solidFill>
                  <a:schemeClr val="accent3">
                    <a:lumMod val="75000"/>
                  </a:schemeClr>
                </a:solidFill>
              </a:ln>
            </c:spPr>
          </c:errBars>
          <c:xVal>
            <c:numRef>
              <c:f>Calc_Area!$E$623:$E$722</c:f>
              <c:numCache>
                <c:formatCode>0.000</c:formatCode>
                <c:ptCount val="100"/>
                <c:pt idx="0">
                  <c:v>0.20200671707002901</c:v>
                </c:pt>
                <c:pt idx="1">
                  <c:v>1.1303137575012592</c:v>
                </c:pt>
                <c:pt idx="2">
                  <c:v>2.0586207979324893</c:v>
                </c:pt>
                <c:pt idx="3">
                  <c:v>2.9869278383637194</c:v>
                </c:pt>
                <c:pt idx="4">
                  <c:v>3.9152348787949496</c:v>
                </c:pt>
                <c:pt idx="5">
                  <c:v>4.8435419192261797</c:v>
                </c:pt>
                <c:pt idx="6">
                  <c:v>5.7718489596574098</c:v>
                </c:pt>
                <c:pt idx="7">
                  <c:v>6.70015600008864</c:v>
                </c:pt>
                <c:pt idx="8">
                  <c:v>7.6284630405198701</c:v>
                </c:pt>
                <c:pt idx="9">
                  <c:v>8.5567700809511003</c:v>
                </c:pt>
                <c:pt idx="10">
                  <c:v>9.4850771213823304</c:v>
                </c:pt>
                <c:pt idx="11">
                  <c:v>10.413384161813561</c:v>
                </c:pt>
                <c:pt idx="12">
                  <c:v>11.341691202244791</c:v>
                </c:pt>
                <c:pt idx="13">
                  <c:v>12.269998242676021</c:v>
                </c:pt>
                <c:pt idx="14">
                  <c:v>13.198305283107251</c:v>
                </c:pt>
                <c:pt idx="15">
                  <c:v>14.126612323538481</c:v>
                </c:pt>
                <c:pt idx="16">
                  <c:v>15.054919363969711</c:v>
                </c:pt>
                <c:pt idx="17">
                  <c:v>15.983226404400941</c:v>
                </c:pt>
                <c:pt idx="18">
                  <c:v>16.911533444832173</c:v>
                </c:pt>
                <c:pt idx="19">
                  <c:v>17.839840485263402</c:v>
                </c:pt>
                <c:pt idx="20">
                  <c:v>18.76814752569463</c:v>
                </c:pt>
                <c:pt idx="21">
                  <c:v>19.696454566125858</c:v>
                </c:pt>
                <c:pt idx="22">
                  <c:v>20.624761606557087</c:v>
                </c:pt>
                <c:pt idx="23">
                  <c:v>21.553068646988315</c:v>
                </c:pt>
                <c:pt idx="24">
                  <c:v>22.481375687419543</c:v>
                </c:pt>
                <c:pt idx="25">
                  <c:v>23.409682727850772</c:v>
                </c:pt>
                <c:pt idx="26">
                  <c:v>24.337989768282</c:v>
                </c:pt>
                <c:pt idx="27">
                  <c:v>25.266296808713228</c:v>
                </c:pt>
                <c:pt idx="28">
                  <c:v>26.194603849144457</c:v>
                </c:pt>
                <c:pt idx="29">
                  <c:v>27.122910889575685</c:v>
                </c:pt>
                <c:pt idx="30">
                  <c:v>28.051217930006914</c:v>
                </c:pt>
                <c:pt idx="31">
                  <c:v>28.979524970438142</c:v>
                </c:pt>
                <c:pt idx="32">
                  <c:v>29.90783201086937</c:v>
                </c:pt>
                <c:pt idx="33">
                  <c:v>30.836139051300599</c:v>
                </c:pt>
                <c:pt idx="34">
                  <c:v>31.764446091731827</c:v>
                </c:pt>
                <c:pt idx="35">
                  <c:v>32.692753132163055</c:v>
                </c:pt>
                <c:pt idx="36">
                  <c:v>33.621060172594284</c:v>
                </c:pt>
                <c:pt idx="37">
                  <c:v>34.549367213025512</c:v>
                </c:pt>
                <c:pt idx="38">
                  <c:v>35.47767425345674</c:v>
                </c:pt>
                <c:pt idx="39">
                  <c:v>36.405981293887969</c:v>
                </c:pt>
                <c:pt idx="40">
                  <c:v>37.334288334319197</c:v>
                </c:pt>
                <c:pt idx="41">
                  <c:v>38.262595374750425</c:v>
                </c:pt>
                <c:pt idx="42">
                  <c:v>39.190902415181654</c:v>
                </c:pt>
                <c:pt idx="43">
                  <c:v>40.119209455612882</c:v>
                </c:pt>
                <c:pt idx="44">
                  <c:v>41.047516496044111</c:v>
                </c:pt>
                <c:pt idx="45">
                  <c:v>41.975823536475339</c:v>
                </c:pt>
                <c:pt idx="46">
                  <c:v>42.904130576906567</c:v>
                </c:pt>
                <c:pt idx="47">
                  <c:v>43.832437617337796</c:v>
                </c:pt>
                <c:pt idx="48">
                  <c:v>44.760744657769024</c:v>
                </c:pt>
                <c:pt idx="49">
                  <c:v>45.689051698200252</c:v>
                </c:pt>
                <c:pt idx="50">
                  <c:v>46.617358738631481</c:v>
                </c:pt>
                <c:pt idx="51">
                  <c:v>47.545665779062709</c:v>
                </c:pt>
                <c:pt idx="52">
                  <c:v>48.473972819493937</c:v>
                </c:pt>
                <c:pt idx="53">
                  <c:v>49.402279859925166</c:v>
                </c:pt>
                <c:pt idx="54">
                  <c:v>50.330586900356394</c:v>
                </c:pt>
                <c:pt idx="55">
                  <c:v>51.258893940787623</c:v>
                </c:pt>
                <c:pt idx="56">
                  <c:v>52.187200981218851</c:v>
                </c:pt>
                <c:pt idx="57">
                  <c:v>53.115508021650079</c:v>
                </c:pt>
                <c:pt idx="58">
                  <c:v>54.043815062081308</c:v>
                </c:pt>
                <c:pt idx="59">
                  <c:v>54.972122102512536</c:v>
                </c:pt>
                <c:pt idx="60">
                  <c:v>55.900429142943764</c:v>
                </c:pt>
                <c:pt idx="61">
                  <c:v>56.828736183374993</c:v>
                </c:pt>
                <c:pt idx="62">
                  <c:v>57.757043223806221</c:v>
                </c:pt>
                <c:pt idx="63">
                  <c:v>58.685350264237449</c:v>
                </c:pt>
                <c:pt idx="64">
                  <c:v>59.613657304668678</c:v>
                </c:pt>
                <c:pt idx="65">
                  <c:v>60.541964345099906</c:v>
                </c:pt>
                <c:pt idx="66">
                  <c:v>61.470271385531134</c:v>
                </c:pt>
                <c:pt idx="67">
                  <c:v>62.398578425962363</c:v>
                </c:pt>
                <c:pt idx="68">
                  <c:v>63.326885466393591</c:v>
                </c:pt>
                <c:pt idx="69">
                  <c:v>64.255192506824827</c:v>
                </c:pt>
                <c:pt idx="70">
                  <c:v>65.183499547256062</c:v>
                </c:pt>
                <c:pt idx="71">
                  <c:v>66.111806587687298</c:v>
                </c:pt>
                <c:pt idx="72">
                  <c:v>67.040113628118533</c:v>
                </c:pt>
                <c:pt idx="73">
                  <c:v>67.968420668549768</c:v>
                </c:pt>
                <c:pt idx="74">
                  <c:v>68.896727708981004</c:v>
                </c:pt>
                <c:pt idx="75">
                  <c:v>69.825034749412239</c:v>
                </c:pt>
                <c:pt idx="76">
                  <c:v>70.753341789843475</c:v>
                </c:pt>
                <c:pt idx="77">
                  <c:v>71.68164883027471</c:v>
                </c:pt>
                <c:pt idx="78">
                  <c:v>72.609955870705946</c:v>
                </c:pt>
                <c:pt idx="79">
                  <c:v>73.538262911137181</c:v>
                </c:pt>
                <c:pt idx="80">
                  <c:v>74.466569951568417</c:v>
                </c:pt>
                <c:pt idx="81">
                  <c:v>75.394876991999652</c:v>
                </c:pt>
                <c:pt idx="82">
                  <c:v>76.323184032430888</c:v>
                </c:pt>
                <c:pt idx="83">
                  <c:v>77.251491072862123</c:v>
                </c:pt>
                <c:pt idx="84">
                  <c:v>78.179798113293359</c:v>
                </c:pt>
                <c:pt idx="85">
                  <c:v>79.108105153724594</c:v>
                </c:pt>
                <c:pt idx="86">
                  <c:v>80.03641219415583</c:v>
                </c:pt>
                <c:pt idx="87">
                  <c:v>80.964719234587065</c:v>
                </c:pt>
                <c:pt idx="88">
                  <c:v>81.8930262750183</c:v>
                </c:pt>
                <c:pt idx="89">
                  <c:v>82.821333315449536</c:v>
                </c:pt>
                <c:pt idx="90">
                  <c:v>83.749640355880771</c:v>
                </c:pt>
                <c:pt idx="91">
                  <c:v>84.677947396312007</c:v>
                </c:pt>
                <c:pt idx="92">
                  <c:v>85.606254436743242</c:v>
                </c:pt>
                <c:pt idx="93">
                  <c:v>86.534561477174478</c:v>
                </c:pt>
                <c:pt idx="94">
                  <c:v>87.462868517605713</c:v>
                </c:pt>
                <c:pt idx="95">
                  <c:v>88.391175558036949</c:v>
                </c:pt>
                <c:pt idx="96">
                  <c:v>89.319482598468184</c:v>
                </c:pt>
                <c:pt idx="97">
                  <c:v>90.24778963889942</c:v>
                </c:pt>
                <c:pt idx="98">
                  <c:v>91.176096679330655</c:v>
                </c:pt>
                <c:pt idx="99">
                  <c:v>92.104403719761891</c:v>
                </c:pt>
              </c:numCache>
            </c:numRef>
          </c:xVal>
          <c:yVal>
            <c:numRef>
              <c:f>Calc_Area!$G$623:$G$722</c:f>
              <c:numCache>
                <c:formatCode>General</c:formatCode>
                <c:ptCount val="100"/>
                <c:pt idx="0">
                  <c:v>4.9497525061873979E-2</c:v>
                </c:pt>
                <c:pt idx="1">
                  <c:v>4.7252582926325316E-2</c:v>
                </c:pt>
                <c:pt idx="2">
                  <c:v>4.5109459319797283E-2</c:v>
                </c:pt>
                <c:pt idx="3">
                  <c:v>4.3063536300166669E-2</c:v>
                </c:pt>
                <c:pt idx="4">
                  <c:v>4.1110405370385322E-2</c:v>
                </c:pt>
                <c:pt idx="5">
                  <c:v>3.9245857979175409E-2</c:v>
                </c:pt>
                <c:pt idx="6">
                  <c:v>3.7465876452562212E-2</c:v>
                </c:pt>
                <c:pt idx="7">
                  <c:v>3.5766625336703835E-2</c:v>
                </c:pt>
                <c:pt idx="8">
                  <c:v>3.414444313336381E-2</c:v>
                </c:pt>
                <c:pt idx="9">
                  <c:v>3.2595834410218259E-2</c:v>
                </c:pt>
                <c:pt idx="10">
                  <c:v>3.1117462268997195E-2</c:v>
                </c:pt>
                <c:pt idx="11">
                  <c:v>2.9706141155230525E-2</c:v>
                </c:pt>
                <c:pt idx="12">
                  <c:v>2.8358829994105404E-2</c:v>
                </c:pt>
                <c:pt idx="13">
                  <c:v>2.7072625637644225E-2</c:v>
                </c:pt>
                <c:pt idx="14">
                  <c:v>2.5844756609083523E-2</c:v>
                </c:pt>
                <c:pt idx="15">
                  <c:v>2.4672577130974181E-2</c:v>
                </c:pt>
                <c:pt idx="16">
                  <c:v>2.3553561424135092E-2</c:v>
                </c:pt>
                <c:pt idx="17">
                  <c:v>2.2485298265175598E-2</c:v>
                </c:pt>
                <c:pt idx="18">
                  <c:v>2.1465485790859513E-2</c:v>
                </c:pt>
                <c:pt idx="19">
                  <c:v>2.0491926538115393E-2</c:v>
                </c:pt>
                <c:pt idx="20">
                  <c:v>1.9562522709005204E-2</c:v>
                </c:pt>
                <c:pt idx="21">
                  <c:v>1.867527165044873E-2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01-4B22-AA67-CA52A70F6C60}"/>
            </c:ext>
          </c:extLst>
        </c:ser>
        <c:ser>
          <c:idx val="1"/>
          <c:order val="1"/>
          <c:spPr>
            <a:ln w="38100"/>
          </c:spPr>
          <c:marker>
            <c:symbol val="none"/>
          </c:marker>
          <c:xVal>
            <c:numRef>
              <c:f>Calc_Area!$E$623:$E$722</c:f>
              <c:numCache>
                <c:formatCode>0.000</c:formatCode>
                <c:ptCount val="100"/>
                <c:pt idx="0">
                  <c:v>0.20200671707002901</c:v>
                </c:pt>
                <c:pt idx="1">
                  <c:v>1.1303137575012592</c:v>
                </c:pt>
                <c:pt idx="2">
                  <c:v>2.0586207979324893</c:v>
                </c:pt>
                <c:pt idx="3">
                  <c:v>2.9869278383637194</c:v>
                </c:pt>
                <c:pt idx="4">
                  <c:v>3.9152348787949496</c:v>
                </c:pt>
                <c:pt idx="5">
                  <c:v>4.8435419192261797</c:v>
                </c:pt>
                <c:pt idx="6">
                  <c:v>5.7718489596574098</c:v>
                </c:pt>
                <c:pt idx="7">
                  <c:v>6.70015600008864</c:v>
                </c:pt>
                <c:pt idx="8">
                  <c:v>7.6284630405198701</c:v>
                </c:pt>
                <c:pt idx="9">
                  <c:v>8.5567700809511003</c:v>
                </c:pt>
                <c:pt idx="10">
                  <c:v>9.4850771213823304</c:v>
                </c:pt>
                <c:pt idx="11">
                  <c:v>10.413384161813561</c:v>
                </c:pt>
                <c:pt idx="12">
                  <c:v>11.341691202244791</c:v>
                </c:pt>
                <c:pt idx="13">
                  <c:v>12.269998242676021</c:v>
                </c:pt>
                <c:pt idx="14">
                  <c:v>13.198305283107251</c:v>
                </c:pt>
                <c:pt idx="15">
                  <c:v>14.126612323538481</c:v>
                </c:pt>
                <c:pt idx="16">
                  <c:v>15.054919363969711</c:v>
                </c:pt>
                <c:pt idx="17">
                  <c:v>15.983226404400941</c:v>
                </c:pt>
                <c:pt idx="18">
                  <c:v>16.911533444832173</c:v>
                </c:pt>
                <c:pt idx="19">
                  <c:v>17.839840485263402</c:v>
                </c:pt>
                <c:pt idx="20">
                  <c:v>18.76814752569463</c:v>
                </c:pt>
                <c:pt idx="21">
                  <c:v>19.696454566125858</c:v>
                </c:pt>
                <c:pt idx="22">
                  <c:v>20.624761606557087</c:v>
                </c:pt>
                <c:pt idx="23">
                  <c:v>21.553068646988315</c:v>
                </c:pt>
                <c:pt idx="24">
                  <c:v>22.481375687419543</c:v>
                </c:pt>
                <c:pt idx="25">
                  <c:v>23.409682727850772</c:v>
                </c:pt>
                <c:pt idx="26">
                  <c:v>24.337989768282</c:v>
                </c:pt>
                <c:pt idx="27">
                  <c:v>25.266296808713228</c:v>
                </c:pt>
                <c:pt idx="28">
                  <c:v>26.194603849144457</c:v>
                </c:pt>
                <c:pt idx="29">
                  <c:v>27.122910889575685</c:v>
                </c:pt>
                <c:pt idx="30">
                  <c:v>28.051217930006914</c:v>
                </c:pt>
                <c:pt idx="31">
                  <c:v>28.979524970438142</c:v>
                </c:pt>
                <c:pt idx="32">
                  <c:v>29.90783201086937</c:v>
                </c:pt>
                <c:pt idx="33">
                  <c:v>30.836139051300599</c:v>
                </c:pt>
                <c:pt idx="34">
                  <c:v>31.764446091731827</c:v>
                </c:pt>
                <c:pt idx="35">
                  <c:v>32.692753132163055</c:v>
                </c:pt>
                <c:pt idx="36">
                  <c:v>33.621060172594284</c:v>
                </c:pt>
                <c:pt idx="37">
                  <c:v>34.549367213025512</c:v>
                </c:pt>
                <c:pt idx="38">
                  <c:v>35.47767425345674</c:v>
                </c:pt>
                <c:pt idx="39">
                  <c:v>36.405981293887969</c:v>
                </c:pt>
                <c:pt idx="40">
                  <c:v>37.334288334319197</c:v>
                </c:pt>
                <c:pt idx="41">
                  <c:v>38.262595374750425</c:v>
                </c:pt>
                <c:pt idx="42">
                  <c:v>39.190902415181654</c:v>
                </c:pt>
                <c:pt idx="43">
                  <c:v>40.119209455612882</c:v>
                </c:pt>
                <c:pt idx="44">
                  <c:v>41.047516496044111</c:v>
                </c:pt>
                <c:pt idx="45">
                  <c:v>41.975823536475339</c:v>
                </c:pt>
                <c:pt idx="46">
                  <c:v>42.904130576906567</c:v>
                </c:pt>
                <c:pt idx="47">
                  <c:v>43.832437617337796</c:v>
                </c:pt>
                <c:pt idx="48">
                  <c:v>44.760744657769024</c:v>
                </c:pt>
                <c:pt idx="49">
                  <c:v>45.689051698200252</c:v>
                </c:pt>
                <c:pt idx="50">
                  <c:v>46.617358738631481</c:v>
                </c:pt>
                <c:pt idx="51">
                  <c:v>47.545665779062709</c:v>
                </c:pt>
                <c:pt idx="52">
                  <c:v>48.473972819493937</c:v>
                </c:pt>
                <c:pt idx="53">
                  <c:v>49.402279859925166</c:v>
                </c:pt>
                <c:pt idx="54">
                  <c:v>50.330586900356394</c:v>
                </c:pt>
                <c:pt idx="55">
                  <c:v>51.258893940787623</c:v>
                </c:pt>
                <c:pt idx="56">
                  <c:v>52.187200981218851</c:v>
                </c:pt>
                <c:pt idx="57">
                  <c:v>53.115508021650079</c:v>
                </c:pt>
                <c:pt idx="58">
                  <c:v>54.043815062081308</c:v>
                </c:pt>
                <c:pt idx="59">
                  <c:v>54.972122102512536</c:v>
                </c:pt>
                <c:pt idx="60">
                  <c:v>55.900429142943764</c:v>
                </c:pt>
                <c:pt idx="61">
                  <c:v>56.828736183374993</c:v>
                </c:pt>
                <c:pt idx="62">
                  <c:v>57.757043223806221</c:v>
                </c:pt>
                <c:pt idx="63">
                  <c:v>58.685350264237449</c:v>
                </c:pt>
                <c:pt idx="64">
                  <c:v>59.613657304668678</c:v>
                </c:pt>
                <c:pt idx="65">
                  <c:v>60.541964345099906</c:v>
                </c:pt>
                <c:pt idx="66">
                  <c:v>61.470271385531134</c:v>
                </c:pt>
                <c:pt idx="67">
                  <c:v>62.398578425962363</c:v>
                </c:pt>
                <c:pt idx="68">
                  <c:v>63.326885466393591</c:v>
                </c:pt>
                <c:pt idx="69">
                  <c:v>64.255192506824827</c:v>
                </c:pt>
                <c:pt idx="70">
                  <c:v>65.183499547256062</c:v>
                </c:pt>
                <c:pt idx="71">
                  <c:v>66.111806587687298</c:v>
                </c:pt>
                <c:pt idx="72">
                  <c:v>67.040113628118533</c:v>
                </c:pt>
                <c:pt idx="73">
                  <c:v>67.968420668549768</c:v>
                </c:pt>
                <c:pt idx="74">
                  <c:v>68.896727708981004</c:v>
                </c:pt>
                <c:pt idx="75">
                  <c:v>69.825034749412239</c:v>
                </c:pt>
                <c:pt idx="76">
                  <c:v>70.753341789843475</c:v>
                </c:pt>
                <c:pt idx="77">
                  <c:v>71.68164883027471</c:v>
                </c:pt>
                <c:pt idx="78">
                  <c:v>72.609955870705946</c:v>
                </c:pt>
                <c:pt idx="79">
                  <c:v>73.538262911137181</c:v>
                </c:pt>
                <c:pt idx="80">
                  <c:v>74.466569951568417</c:v>
                </c:pt>
                <c:pt idx="81">
                  <c:v>75.394876991999652</c:v>
                </c:pt>
                <c:pt idx="82">
                  <c:v>76.323184032430888</c:v>
                </c:pt>
                <c:pt idx="83">
                  <c:v>77.251491072862123</c:v>
                </c:pt>
                <c:pt idx="84">
                  <c:v>78.179798113293359</c:v>
                </c:pt>
                <c:pt idx="85">
                  <c:v>79.108105153724594</c:v>
                </c:pt>
                <c:pt idx="86">
                  <c:v>80.03641219415583</c:v>
                </c:pt>
                <c:pt idx="87">
                  <c:v>80.964719234587065</c:v>
                </c:pt>
                <c:pt idx="88">
                  <c:v>81.8930262750183</c:v>
                </c:pt>
                <c:pt idx="89">
                  <c:v>82.821333315449536</c:v>
                </c:pt>
                <c:pt idx="90">
                  <c:v>83.749640355880771</c:v>
                </c:pt>
                <c:pt idx="91">
                  <c:v>84.677947396312007</c:v>
                </c:pt>
                <c:pt idx="92">
                  <c:v>85.606254436743242</c:v>
                </c:pt>
                <c:pt idx="93">
                  <c:v>86.534561477174478</c:v>
                </c:pt>
                <c:pt idx="94">
                  <c:v>87.462868517605713</c:v>
                </c:pt>
                <c:pt idx="95">
                  <c:v>88.391175558036949</c:v>
                </c:pt>
                <c:pt idx="96">
                  <c:v>89.319482598468184</c:v>
                </c:pt>
                <c:pt idx="97">
                  <c:v>90.24778963889942</c:v>
                </c:pt>
                <c:pt idx="98">
                  <c:v>91.176096679330655</c:v>
                </c:pt>
                <c:pt idx="99">
                  <c:v>92.104403719761891</c:v>
                </c:pt>
              </c:numCache>
            </c:numRef>
          </c:xVal>
          <c:yVal>
            <c:numRef>
              <c:f>Calc_Area!$F$623:$F$722</c:f>
              <c:numCache>
                <c:formatCode>General</c:formatCode>
                <c:ptCount val="100"/>
                <c:pt idx="0">
                  <c:v>4.9497525061873979E-2</c:v>
                </c:pt>
                <c:pt idx="1">
                  <c:v>4.7252582926325316E-2</c:v>
                </c:pt>
                <c:pt idx="2">
                  <c:v>4.5109459319797283E-2</c:v>
                </c:pt>
                <c:pt idx="3">
                  <c:v>4.3063536300166669E-2</c:v>
                </c:pt>
                <c:pt idx="4">
                  <c:v>4.1110405370385322E-2</c:v>
                </c:pt>
                <c:pt idx="5">
                  <c:v>3.9245857979175409E-2</c:v>
                </c:pt>
                <c:pt idx="6">
                  <c:v>3.7465876452562212E-2</c:v>
                </c:pt>
                <c:pt idx="7">
                  <c:v>3.5766625336703835E-2</c:v>
                </c:pt>
                <c:pt idx="8">
                  <c:v>3.414444313336381E-2</c:v>
                </c:pt>
                <c:pt idx="9">
                  <c:v>3.2595834410218259E-2</c:v>
                </c:pt>
                <c:pt idx="10">
                  <c:v>3.1117462268997195E-2</c:v>
                </c:pt>
                <c:pt idx="11">
                  <c:v>2.9706141155230525E-2</c:v>
                </c:pt>
                <c:pt idx="12">
                  <c:v>2.8358829994105404E-2</c:v>
                </c:pt>
                <c:pt idx="13">
                  <c:v>2.7072625637644225E-2</c:v>
                </c:pt>
                <c:pt idx="14">
                  <c:v>2.5844756609083523E-2</c:v>
                </c:pt>
                <c:pt idx="15">
                  <c:v>2.4672577130974181E-2</c:v>
                </c:pt>
                <c:pt idx="16">
                  <c:v>2.3553561424135092E-2</c:v>
                </c:pt>
                <c:pt idx="17">
                  <c:v>2.2485298265175598E-2</c:v>
                </c:pt>
                <c:pt idx="18">
                  <c:v>2.1465485790859513E-2</c:v>
                </c:pt>
                <c:pt idx="19">
                  <c:v>2.0491926538115393E-2</c:v>
                </c:pt>
                <c:pt idx="20">
                  <c:v>1.9562522709005204E-2</c:v>
                </c:pt>
                <c:pt idx="21">
                  <c:v>1.867527165044873E-2</c:v>
                </c:pt>
                <c:pt idx="22">
                  <c:v>1.7828261538963323E-2</c:v>
                </c:pt>
                <c:pt idx="23">
                  <c:v>1.7019667261120756E-2</c:v>
                </c:pt>
                <c:pt idx="24">
                  <c:v>1.6247746480844445E-2</c:v>
                </c:pt>
                <c:pt idx="25">
                  <c:v>1.5510835885072946E-2</c:v>
                </c:pt>
                <c:pt idx="26">
                  <c:v>1.4807347599700035E-2</c:v>
                </c:pt>
                <c:pt idx="27">
                  <c:v>1.4135765768068487E-2</c:v>
                </c:pt>
                <c:pt idx="28">
                  <c:v>1.349464328464503E-2</c:v>
                </c:pt>
                <c:pt idx="29">
                  <c:v>1.2882598676838303E-2</c:v>
                </c:pt>
                <c:pt idx="30">
                  <c:v>1.2298313128240758E-2</c:v>
                </c:pt>
                <c:pt idx="31">
                  <c:v>1.1740527636880403E-2</c:v>
                </c:pt>
                <c:pt idx="32">
                  <c:v>1.1208040302358946E-2</c:v>
                </c:pt>
                <c:pt idx="33">
                  <c:v>1.0699703736030824E-2</c:v>
                </c:pt>
                <c:pt idx="34">
                  <c:v>1.0214422588642613E-2</c:v>
                </c:pt>
                <c:pt idx="35">
                  <c:v>9.751151190105424E-3</c:v>
                </c:pt>
                <c:pt idx="36">
                  <c:v>9.3088912963145993E-3</c:v>
                </c:pt>
                <c:pt idx="37">
                  <c:v>8.8866899381615291E-3</c:v>
                </c:pt>
                <c:pt idx="38">
                  <c:v>8.4836373681027918E-3</c:v>
                </c:pt>
                <c:pt idx="39">
                  <c:v>8.0988650998618707E-3</c:v>
                </c:pt>
                <c:pt idx="40">
                  <c:v>7.731544037039499E-3</c:v>
                </c:pt>
                <c:pt idx="41">
                  <c:v>7.3808826866001986E-3</c:v>
                </c:pt>
                <c:pt idx="42">
                  <c:v>7.0461254533854545E-3</c:v>
                </c:pt>
                <c:pt idx="43">
                  <c:v>6.7265510119786671E-3</c:v>
                </c:pt>
                <c:pt idx="44">
                  <c:v>6.4214707524135268E-3</c:v>
                </c:pt>
                <c:pt idx="45">
                  <c:v>6.1302272963767654E-3</c:v>
                </c:pt>
                <c:pt idx="46">
                  <c:v>5.8521930807079285E-3</c:v>
                </c:pt>
                <c:pt idx="47">
                  <c:v>5.5867690051440554E-3</c:v>
                </c:pt>
                <c:pt idx="48">
                  <c:v>5.3333831413953708E-3</c:v>
                </c:pt>
                <c:pt idx="49">
                  <c:v>5.0914895007703794E-3</c:v>
                </c:pt>
                <c:pt idx="50">
                  <c:v>4.8605668576948936E-3</c:v>
                </c:pt>
                <c:pt idx="51">
                  <c:v>4.6401176265898946E-3</c:v>
                </c:pt>
                <c:pt idx="52">
                  <c:v>4.429666789688206E-3</c:v>
                </c:pt>
                <c:pt idx="53">
                  <c:v>4.2287608734796539E-3</c:v>
                </c:pt>
                <c:pt idx="54">
                  <c:v>4.0369669715791629E-3</c:v>
                </c:pt>
                <c:pt idx="55">
                  <c:v>3.8538718119123421E-3</c:v>
                </c:pt>
                <c:pt idx="56">
                  <c:v>3.679080866208486E-3</c:v>
                </c:pt>
                <c:pt idx="57">
                  <c:v>3.5122174998822352E-3</c:v>
                </c:pt>
                <c:pt idx="58">
                  <c:v>3.3529221604720167E-3</c:v>
                </c:pt>
                <c:pt idx="59">
                  <c:v>3.2008516028865755E-3</c:v>
                </c:pt>
                <c:pt idx="60">
                  <c:v>3.0556781497901621E-3</c:v>
                </c:pt>
                <c:pt idx="61">
                  <c:v>2.9170889855326719E-3</c:v>
                </c:pt>
                <c:pt idx="62">
                  <c:v>2.7847854821033378E-3</c:v>
                </c:pt>
                <c:pt idx="63">
                  <c:v>2.6584825556555391E-3</c:v>
                </c:pt>
                <c:pt idx="64">
                  <c:v>2.537908052216189E-3</c:v>
                </c:pt>
                <c:pt idx="65">
                  <c:v>2.4228021612560605E-3</c:v>
                </c:pt>
                <c:pt idx="66">
                  <c:v>2.3129168558573962E-3</c:v>
                </c:pt>
                <c:pt idx="67">
                  <c:v>2.2080153582725299E-3</c:v>
                </c:pt>
                <c:pt idx="68">
                  <c:v>2.1078716297218956E-3</c:v>
                </c:pt>
                <c:pt idx="69">
                  <c:v>2.0122698833320483E-3</c:v>
                </c:pt>
                <c:pt idx="70">
                  <c:v>1.9210041191642291E-3</c:v>
                </c:pt>
                <c:pt idx="71">
                  <c:v>1.8338776803315103E-3</c:v>
                </c:pt>
                <c:pt idx="72">
                  <c:v>1.750702829248104E-3</c:v>
                </c:pt>
                <c:pt idx="73">
                  <c:v>1.6713003430977285E-3</c:v>
                </c:pt>
                <c:pt idx="74">
                  <c:v>1.5954991276493412E-3</c:v>
                </c:pt>
                <c:pt idx="75">
                  <c:v>1.5231358485881408E-3</c:v>
                </c:pt>
                <c:pt idx="76">
                  <c:v>1.4540545795674001E-3</c:v>
                </c:pt>
                <c:pt idx="77">
                  <c:v>1.3881064662227846E-3</c:v>
                </c:pt>
                <c:pt idx="78">
                  <c:v>1.3251494054251859E-3</c:v>
                </c:pt>
                <c:pt idx="79">
                  <c:v>1.2650477390809076E-3</c:v>
                </c:pt>
                <c:pt idx="80">
                  <c:v>1.2076719618194531E-3</c:v>
                </c:pt>
                <c:pt idx="81">
                  <c:v>1.1528984419390113E-3</c:v>
                </c:pt>
                <c:pt idx="82">
                  <c:v>1.1006091550083629E-3</c:v>
                </c:pt>
                <c:pt idx="83">
                  <c:v>1.0506914295511757E-3</c:v>
                </c:pt>
                <c:pt idx="84">
                  <c:v>1.0030377042646935E-3</c:v>
                </c:pt>
                <c:pt idx="85">
                  <c:v>9.5754529624968567E-4</c:v>
                </c:pt>
                <c:pt idx="86">
                  <c:v>9.1411617975224008E-4</c:v>
                </c:pt>
                <c:pt idx="87">
                  <c:v>8.7265677494063919E-4</c:v>
                </c:pt>
                <c:pt idx="88">
                  <c:v>8.3307774626218821E-4</c:v>
                </c:pt>
                <c:pt idx="89">
                  <c:v>7.9529380994549216E-4</c:v>
                </c:pt>
                <c:pt idx="90">
                  <c:v>7.5922355023339818E-4</c:v>
                </c:pt>
                <c:pt idx="91">
                  <c:v>7.2478924395062488E-4</c:v>
                </c:pt>
                <c:pt idx="92">
                  <c:v>6.9191669302806321E-4</c:v>
                </c:pt>
                <c:pt idx="93">
                  <c:v>6.6053506462287548E-4</c:v>
                </c:pt>
                <c:pt idx="94">
                  <c:v>6.3057673848988967E-4</c:v>
                </c:pt>
                <c:pt idx="95">
                  <c:v>6.0197716127540792E-4</c:v>
                </c:pt>
                <c:pt idx="96">
                  <c:v>5.7467470741946595E-4</c:v>
                </c:pt>
                <c:pt idx="97">
                  <c:v>5.4861054636681989E-4</c:v>
                </c:pt>
                <c:pt idx="98">
                  <c:v>5.2372851580053E-4</c:v>
                </c:pt>
                <c:pt idx="99">
                  <c:v>4.9997500062498818E-4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01-4B22-AA67-CA52A70F6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291440"/>
        <c:axId val="259291832"/>
      </c:scatterChart>
      <c:valAx>
        <c:axId val="2592914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9291832"/>
        <c:crosses val="autoZero"/>
        <c:crossBetween val="midCat"/>
      </c:valAx>
      <c:valAx>
        <c:axId val="25929183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f(t)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259291440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796790464617"/>
          <c:y val="5.0011349932609792E-2"/>
          <c:w val="0.80946901721851694"/>
          <c:h val="0.77939561608853847"/>
        </c:manualLayout>
      </c:layout>
      <c:scatterChart>
        <c:scatterStyle val="smoothMarker"/>
        <c:varyColors val="0"/>
        <c:ser>
          <c:idx val="1"/>
          <c:order val="0"/>
          <c:spPr>
            <a:ln w="38100"/>
          </c:spPr>
          <c:marker>
            <c:symbol val="none"/>
          </c:marker>
          <c:xVal>
            <c:numRef>
              <c:f>Calc_Area!$E$623:$E$722</c:f>
              <c:numCache>
                <c:formatCode>0.000</c:formatCode>
                <c:ptCount val="100"/>
                <c:pt idx="0">
                  <c:v>0.20200671707002901</c:v>
                </c:pt>
                <c:pt idx="1">
                  <c:v>1.1303137575012592</c:v>
                </c:pt>
                <c:pt idx="2">
                  <c:v>2.0586207979324893</c:v>
                </c:pt>
                <c:pt idx="3">
                  <c:v>2.9869278383637194</c:v>
                </c:pt>
                <c:pt idx="4">
                  <c:v>3.9152348787949496</c:v>
                </c:pt>
                <c:pt idx="5">
                  <c:v>4.8435419192261797</c:v>
                </c:pt>
                <c:pt idx="6">
                  <c:v>5.7718489596574098</c:v>
                </c:pt>
                <c:pt idx="7">
                  <c:v>6.70015600008864</c:v>
                </c:pt>
                <c:pt idx="8">
                  <c:v>7.6284630405198701</c:v>
                </c:pt>
                <c:pt idx="9">
                  <c:v>8.5567700809511003</c:v>
                </c:pt>
                <c:pt idx="10">
                  <c:v>9.4850771213823304</c:v>
                </c:pt>
                <c:pt idx="11">
                  <c:v>10.413384161813561</c:v>
                </c:pt>
                <c:pt idx="12">
                  <c:v>11.341691202244791</c:v>
                </c:pt>
                <c:pt idx="13">
                  <c:v>12.269998242676021</c:v>
                </c:pt>
                <c:pt idx="14">
                  <c:v>13.198305283107251</c:v>
                </c:pt>
                <c:pt idx="15">
                  <c:v>14.126612323538481</c:v>
                </c:pt>
                <c:pt idx="16">
                  <c:v>15.054919363969711</c:v>
                </c:pt>
                <c:pt idx="17">
                  <c:v>15.983226404400941</c:v>
                </c:pt>
                <c:pt idx="18">
                  <c:v>16.911533444832173</c:v>
                </c:pt>
                <c:pt idx="19">
                  <c:v>17.839840485263402</c:v>
                </c:pt>
                <c:pt idx="20">
                  <c:v>18.76814752569463</c:v>
                </c:pt>
                <c:pt idx="21">
                  <c:v>19.696454566125858</c:v>
                </c:pt>
                <c:pt idx="22">
                  <c:v>20.624761606557087</c:v>
                </c:pt>
                <c:pt idx="23">
                  <c:v>21.553068646988315</c:v>
                </c:pt>
                <c:pt idx="24">
                  <c:v>22.481375687419543</c:v>
                </c:pt>
                <c:pt idx="25">
                  <c:v>23.409682727850772</c:v>
                </c:pt>
                <c:pt idx="26">
                  <c:v>24.337989768282</c:v>
                </c:pt>
                <c:pt idx="27">
                  <c:v>25.266296808713228</c:v>
                </c:pt>
                <c:pt idx="28">
                  <c:v>26.194603849144457</c:v>
                </c:pt>
                <c:pt idx="29">
                  <c:v>27.122910889575685</c:v>
                </c:pt>
                <c:pt idx="30">
                  <c:v>28.051217930006914</c:v>
                </c:pt>
                <c:pt idx="31">
                  <c:v>28.979524970438142</c:v>
                </c:pt>
                <c:pt idx="32">
                  <c:v>29.90783201086937</c:v>
                </c:pt>
                <c:pt idx="33">
                  <c:v>30.836139051300599</c:v>
                </c:pt>
                <c:pt idx="34">
                  <c:v>31.764446091731827</c:v>
                </c:pt>
                <c:pt idx="35">
                  <c:v>32.692753132163055</c:v>
                </c:pt>
                <c:pt idx="36">
                  <c:v>33.621060172594284</c:v>
                </c:pt>
                <c:pt idx="37">
                  <c:v>34.549367213025512</c:v>
                </c:pt>
                <c:pt idx="38">
                  <c:v>35.47767425345674</c:v>
                </c:pt>
                <c:pt idx="39">
                  <c:v>36.405981293887969</c:v>
                </c:pt>
                <c:pt idx="40">
                  <c:v>37.334288334319197</c:v>
                </c:pt>
                <c:pt idx="41">
                  <c:v>38.262595374750425</c:v>
                </c:pt>
                <c:pt idx="42">
                  <c:v>39.190902415181654</c:v>
                </c:pt>
                <c:pt idx="43">
                  <c:v>40.119209455612882</c:v>
                </c:pt>
                <c:pt idx="44">
                  <c:v>41.047516496044111</c:v>
                </c:pt>
                <c:pt idx="45">
                  <c:v>41.975823536475339</c:v>
                </c:pt>
                <c:pt idx="46">
                  <c:v>42.904130576906567</c:v>
                </c:pt>
                <c:pt idx="47">
                  <c:v>43.832437617337796</c:v>
                </c:pt>
                <c:pt idx="48">
                  <c:v>44.760744657769024</c:v>
                </c:pt>
                <c:pt idx="49">
                  <c:v>45.689051698200252</c:v>
                </c:pt>
                <c:pt idx="50">
                  <c:v>46.617358738631481</c:v>
                </c:pt>
                <c:pt idx="51">
                  <c:v>47.545665779062709</c:v>
                </c:pt>
                <c:pt idx="52">
                  <c:v>48.473972819493937</c:v>
                </c:pt>
                <c:pt idx="53">
                  <c:v>49.402279859925166</c:v>
                </c:pt>
                <c:pt idx="54">
                  <c:v>50.330586900356394</c:v>
                </c:pt>
                <c:pt idx="55">
                  <c:v>51.258893940787623</c:v>
                </c:pt>
                <c:pt idx="56">
                  <c:v>52.187200981218851</c:v>
                </c:pt>
                <c:pt idx="57">
                  <c:v>53.115508021650079</c:v>
                </c:pt>
                <c:pt idx="58">
                  <c:v>54.043815062081308</c:v>
                </c:pt>
                <c:pt idx="59">
                  <c:v>54.972122102512536</c:v>
                </c:pt>
                <c:pt idx="60">
                  <c:v>55.900429142943764</c:v>
                </c:pt>
                <c:pt idx="61">
                  <c:v>56.828736183374993</c:v>
                </c:pt>
                <c:pt idx="62">
                  <c:v>57.757043223806221</c:v>
                </c:pt>
                <c:pt idx="63">
                  <c:v>58.685350264237449</c:v>
                </c:pt>
                <c:pt idx="64">
                  <c:v>59.613657304668678</c:v>
                </c:pt>
                <c:pt idx="65">
                  <c:v>60.541964345099906</c:v>
                </c:pt>
                <c:pt idx="66">
                  <c:v>61.470271385531134</c:v>
                </c:pt>
                <c:pt idx="67">
                  <c:v>62.398578425962363</c:v>
                </c:pt>
                <c:pt idx="68">
                  <c:v>63.326885466393591</c:v>
                </c:pt>
                <c:pt idx="69">
                  <c:v>64.255192506824827</c:v>
                </c:pt>
                <c:pt idx="70">
                  <c:v>65.183499547256062</c:v>
                </c:pt>
                <c:pt idx="71">
                  <c:v>66.111806587687298</c:v>
                </c:pt>
                <c:pt idx="72">
                  <c:v>67.040113628118533</c:v>
                </c:pt>
                <c:pt idx="73">
                  <c:v>67.968420668549768</c:v>
                </c:pt>
                <c:pt idx="74">
                  <c:v>68.896727708981004</c:v>
                </c:pt>
                <c:pt idx="75">
                  <c:v>69.825034749412239</c:v>
                </c:pt>
                <c:pt idx="76">
                  <c:v>70.753341789843475</c:v>
                </c:pt>
                <c:pt idx="77">
                  <c:v>71.68164883027471</c:v>
                </c:pt>
                <c:pt idx="78">
                  <c:v>72.609955870705946</c:v>
                </c:pt>
                <c:pt idx="79">
                  <c:v>73.538262911137181</c:v>
                </c:pt>
                <c:pt idx="80">
                  <c:v>74.466569951568417</c:v>
                </c:pt>
                <c:pt idx="81">
                  <c:v>75.394876991999652</c:v>
                </c:pt>
                <c:pt idx="82">
                  <c:v>76.323184032430888</c:v>
                </c:pt>
                <c:pt idx="83">
                  <c:v>77.251491072862123</c:v>
                </c:pt>
                <c:pt idx="84">
                  <c:v>78.179798113293359</c:v>
                </c:pt>
                <c:pt idx="85">
                  <c:v>79.108105153724594</c:v>
                </c:pt>
                <c:pt idx="86">
                  <c:v>80.03641219415583</c:v>
                </c:pt>
                <c:pt idx="87">
                  <c:v>80.964719234587065</c:v>
                </c:pt>
                <c:pt idx="88">
                  <c:v>81.8930262750183</c:v>
                </c:pt>
                <c:pt idx="89">
                  <c:v>82.821333315449536</c:v>
                </c:pt>
                <c:pt idx="90">
                  <c:v>83.749640355880771</c:v>
                </c:pt>
                <c:pt idx="91">
                  <c:v>84.677947396312007</c:v>
                </c:pt>
                <c:pt idx="92">
                  <c:v>85.606254436743242</c:v>
                </c:pt>
                <c:pt idx="93">
                  <c:v>86.534561477174478</c:v>
                </c:pt>
                <c:pt idx="94">
                  <c:v>87.462868517605713</c:v>
                </c:pt>
                <c:pt idx="95">
                  <c:v>88.391175558036949</c:v>
                </c:pt>
                <c:pt idx="96">
                  <c:v>89.319482598468184</c:v>
                </c:pt>
                <c:pt idx="97">
                  <c:v>90.24778963889942</c:v>
                </c:pt>
                <c:pt idx="98">
                  <c:v>91.176096679330655</c:v>
                </c:pt>
                <c:pt idx="99">
                  <c:v>92.104403719761891</c:v>
                </c:pt>
              </c:numCache>
            </c:numRef>
          </c:xVal>
          <c:yVal>
            <c:numRef>
              <c:f>Calc_Area!$H$623:$H$722</c:f>
              <c:numCache>
                <c:formatCode>General</c:formatCode>
                <c:ptCount val="100"/>
                <c:pt idx="0">
                  <c:v>1.0049498762520634E-2</c:v>
                </c:pt>
                <c:pt idx="1">
                  <c:v>5.4948341473493881E-2</c:v>
                </c:pt>
                <c:pt idx="2">
                  <c:v>9.7810813604054497E-2</c:v>
                </c:pt>
                <c:pt idx="3">
                  <c:v>0.13872927399666679</c:v>
                </c:pt>
                <c:pt idx="4">
                  <c:v>0.17779189259229378</c:v>
                </c:pt>
                <c:pt idx="5">
                  <c:v>0.21508284041649192</c:v>
                </c:pt>
                <c:pt idx="6">
                  <c:v>0.2506824709487559</c:v>
                </c:pt>
                <c:pt idx="7">
                  <c:v>0.28466749326592344</c:v>
                </c:pt>
                <c:pt idx="8">
                  <c:v>0.31711113733272395</c:v>
                </c:pt>
                <c:pt idx="9">
                  <c:v>0.34808331179563495</c:v>
                </c:pt>
                <c:pt idx="10">
                  <c:v>0.37765075462005626</c:v>
                </c:pt>
                <c:pt idx="11">
                  <c:v>0.40587717689538971</c:v>
                </c:pt>
                <c:pt idx="12">
                  <c:v>0.43282340011789205</c:v>
                </c:pt>
                <c:pt idx="13">
                  <c:v>0.45854748724711547</c:v>
                </c:pt>
                <c:pt idx="14">
                  <c:v>0.48310486781832968</c:v>
                </c:pt>
                <c:pt idx="15">
                  <c:v>0.50654845738051646</c:v>
                </c:pt>
                <c:pt idx="16">
                  <c:v>0.52892877151729822</c:v>
                </c:pt>
                <c:pt idx="17">
                  <c:v>0.55029403469648819</c:v>
                </c:pt>
                <c:pt idx="18">
                  <c:v>0.57069028418280998</c:v>
                </c:pt>
                <c:pt idx="19">
                  <c:v>0.59016146923769219</c:v>
                </c:pt>
                <c:pt idx="20">
                  <c:v>0.60874954581989582</c:v>
                </c:pt>
                <c:pt idx="21">
                  <c:v>0.62649456699102546</c:v>
                </c:pt>
                <c:pt idx="22">
                  <c:v>0.64343476922073362</c:v>
                </c:pt>
                <c:pt idx="23">
                  <c:v>0.65960665477758496</c:v>
                </c:pt>
                <c:pt idx="24">
                  <c:v>0.67504507038311123</c:v>
                </c:pt>
                <c:pt idx="25">
                  <c:v>0.68978328229854113</c:v>
                </c:pt>
                <c:pt idx="26">
                  <c:v>0.70385304800599935</c:v>
                </c:pt>
                <c:pt idx="27">
                  <c:v>0.71728468463863027</c:v>
                </c:pt>
                <c:pt idx="28">
                  <c:v>0.7301071343070995</c:v>
                </c:pt>
                <c:pt idx="29">
                  <c:v>0.74234802646323406</c:v>
                </c:pt>
                <c:pt idx="30">
                  <c:v>0.75403373743518487</c:v>
                </c:pt>
                <c:pt idx="31">
                  <c:v>0.76518944726239202</c:v>
                </c:pt>
                <c:pt idx="32">
                  <c:v>0.77583919395282108</c:v>
                </c:pt>
                <c:pt idx="33">
                  <c:v>0.78600592527938362</c:v>
                </c:pt>
                <c:pt idx="34">
                  <c:v>0.79571154822714774</c:v>
                </c:pt>
                <c:pt idx="35">
                  <c:v>0.80497697619789155</c:v>
                </c:pt>
                <c:pt idx="36">
                  <c:v>0.81382217407370805</c:v>
                </c:pt>
                <c:pt idx="37">
                  <c:v>0.82226620123676941</c:v>
                </c:pt>
                <c:pt idx="38">
                  <c:v>0.83032725263794416</c:v>
                </c:pt>
                <c:pt idx="39">
                  <c:v>0.83802269800276263</c:v>
                </c:pt>
                <c:pt idx="40">
                  <c:v>0.8453691192592101</c:v>
                </c:pt>
                <c:pt idx="41">
                  <c:v>0.85238234626799603</c:v>
                </c:pt>
                <c:pt idx="42">
                  <c:v>0.85907749093229091</c:v>
                </c:pt>
                <c:pt idx="43">
                  <c:v>0.86546897976042669</c:v>
                </c:pt>
                <c:pt idx="44">
                  <c:v>0.87157058495172945</c:v>
                </c:pt>
                <c:pt idx="45">
                  <c:v>0.87739545407246466</c:v>
                </c:pt>
                <c:pt idx="46">
                  <c:v>0.88295613838584142</c:v>
                </c:pt>
                <c:pt idx="47">
                  <c:v>0.88826461989711891</c:v>
                </c:pt>
                <c:pt idx="48">
                  <c:v>0.89333233717209259</c:v>
                </c:pt>
                <c:pt idx="49">
                  <c:v>0.8981702099845924</c:v>
                </c:pt>
                <c:pt idx="50">
                  <c:v>0.90278866284610215</c:v>
                </c:pt>
                <c:pt idx="51">
                  <c:v>0.90719764746820208</c:v>
                </c:pt>
                <c:pt idx="52">
                  <c:v>0.91140666420623595</c:v>
                </c:pt>
                <c:pt idx="53">
                  <c:v>0.91542478253040693</c:v>
                </c:pt>
                <c:pt idx="54">
                  <c:v>0.91926066056841671</c:v>
                </c:pt>
                <c:pt idx="55">
                  <c:v>0.92292256376175319</c:v>
                </c:pt>
                <c:pt idx="56">
                  <c:v>0.92641838267583032</c:v>
                </c:pt>
                <c:pt idx="57">
                  <c:v>0.92975565000235527</c:v>
                </c:pt>
                <c:pt idx="58">
                  <c:v>0.93294155679055968</c:v>
                </c:pt>
                <c:pt idx="59">
                  <c:v>0.93598296794226854</c:v>
                </c:pt>
                <c:pt idx="60">
                  <c:v>0.93888643700419672</c:v>
                </c:pt>
                <c:pt idx="61">
                  <c:v>0.94165822028934654</c:v>
                </c:pt>
                <c:pt idx="62">
                  <c:v>0.94430429035793328</c:v>
                </c:pt>
                <c:pt idx="63">
                  <c:v>0.94683034888688922</c:v>
                </c:pt>
                <c:pt idx="64">
                  <c:v>0.94924183895567626</c:v>
                </c:pt>
                <c:pt idx="65">
                  <c:v>0.9515439567748788</c:v>
                </c:pt>
                <c:pt idx="66">
                  <c:v>0.95374166288285211</c:v>
                </c:pt>
                <c:pt idx="67">
                  <c:v>0.95583969283454939</c:v>
                </c:pt>
                <c:pt idx="68">
                  <c:v>0.95784256740556206</c:v>
                </c:pt>
                <c:pt idx="69">
                  <c:v>0.95975460233335907</c:v>
                </c:pt>
                <c:pt idx="70">
                  <c:v>0.96157991761671546</c:v>
                </c:pt>
                <c:pt idx="71">
                  <c:v>0.96332244639336984</c:v>
                </c:pt>
                <c:pt idx="72">
                  <c:v>0.96498594341503796</c:v>
                </c:pt>
                <c:pt idx="73">
                  <c:v>0.96657399313804548</c:v>
                </c:pt>
                <c:pt idx="74">
                  <c:v>0.96809001744701317</c:v>
                </c:pt>
                <c:pt idx="75">
                  <c:v>0.96953728302823716</c:v>
                </c:pt>
                <c:pt idx="76">
                  <c:v>0.97091890840865203</c:v>
                </c:pt>
                <c:pt idx="77">
                  <c:v>0.97223787067554435</c:v>
                </c:pt>
                <c:pt idx="78">
                  <c:v>0.97349701189149629</c:v>
                </c:pt>
                <c:pt idx="79">
                  <c:v>0.97469904521838191</c:v>
                </c:pt>
                <c:pt idx="80">
                  <c:v>0.97584656076361098</c:v>
                </c:pt>
                <c:pt idx="81">
                  <c:v>0.9769420311612198</c:v>
                </c:pt>
                <c:pt idx="82">
                  <c:v>0.97798781689983272</c:v>
                </c:pt>
                <c:pt idx="83">
                  <c:v>0.97898617140897648</c:v>
                </c:pt>
                <c:pt idx="84">
                  <c:v>0.97993924591470616</c:v>
                </c:pt>
                <c:pt idx="85">
                  <c:v>0.98084909407500631</c:v>
                </c:pt>
                <c:pt idx="86">
                  <c:v>0.98171767640495522</c:v>
                </c:pt>
                <c:pt idx="87">
                  <c:v>0.98254686450118722</c:v>
                </c:pt>
                <c:pt idx="88">
                  <c:v>0.98333844507475621</c:v>
                </c:pt>
                <c:pt idx="89">
                  <c:v>0.98409412380109018</c:v>
                </c:pt>
                <c:pt idx="90">
                  <c:v>0.98481552899533209</c:v>
                </c:pt>
                <c:pt idx="91">
                  <c:v>0.98550421512098751</c:v>
                </c:pt>
                <c:pt idx="92">
                  <c:v>0.98616166613943879</c:v>
                </c:pt>
                <c:pt idx="93">
                  <c:v>0.98678929870754251</c:v>
                </c:pt>
                <c:pt idx="94">
                  <c:v>0.98738846523020218</c:v>
                </c:pt>
                <c:pt idx="95">
                  <c:v>0.98796045677449185</c:v>
                </c:pt>
                <c:pt idx="96">
                  <c:v>0.98850650585161071</c:v>
                </c:pt>
                <c:pt idx="97">
                  <c:v>0.98902778907266364</c:v>
                </c:pt>
                <c:pt idx="98">
                  <c:v>0.98952542968398938</c:v>
                </c:pt>
                <c:pt idx="99">
                  <c:v>0.99000049998750028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0D-4F79-9F1A-8E227BAAEFEC}"/>
            </c:ext>
          </c:extLst>
        </c:ser>
        <c:ser>
          <c:idx val="0"/>
          <c:order val="1"/>
          <c:spPr>
            <a:ln w="92075">
              <a:solidFill>
                <a:srgbClr val="9BBB59">
                  <a:lumMod val="75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Calc_Area!$E$623:$E$722</c:f>
              <c:numCache>
                <c:formatCode>0.000</c:formatCode>
                <c:ptCount val="100"/>
                <c:pt idx="0">
                  <c:v>0.20200671707002901</c:v>
                </c:pt>
                <c:pt idx="1">
                  <c:v>1.1303137575012592</c:v>
                </c:pt>
                <c:pt idx="2">
                  <c:v>2.0586207979324893</c:v>
                </c:pt>
                <c:pt idx="3">
                  <c:v>2.9869278383637194</c:v>
                </c:pt>
                <c:pt idx="4">
                  <c:v>3.9152348787949496</c:v>
                </c:pt>
                <c:pt idx="5">
                  <c:v>4.8435419192261797</c:v>
                </c:pt>
                <c:pt idx="6">
                  <c:v>5.7718489596574098</c:v>
                </c:pt>
                <c:pt idx="7">
                  <c:v>6.70015600008864</c:v>
                </c:pt>
                <c:pt idx="8">
                  <c:v>7.6284630405198701</c:v>
                </c:pt>
                <c:pt idx="9">
                  <c:v>8.5567700809511003</c:v>
                </c:pt>
                <c:pt idx="10">
                  <c:v>9.4850771213823304</c:v>
                </c:pt>
                <c:pt idx="11">
                  <c:v>10.413384161813561</c:v>
                </c:pt>
                <c:pt idx="12">
                  <c:v>11.341691202244791</c:v>
                </c:pt>
                <c:pt idx="13">
                  <c:v>12.269998242676021</c:v>
                </c:pt>
                <c:pt idx="14">
                  <c:v>13.198305283107251</c:v>
                </c:pt>
                <c:pt idx="15">
                  <c:v>14.126612323538481</c:v>
                </c:pt>
                <c:pt idx="16">
                  <c:v>15.054919363969711</c:v>
                </c:pt>
                <c:pt idx="17">
                  <c:v>15.983226404400941</c:v>
                </c:pt>
                <c:pt idx="18">
                  <c:v>16.911533444832173</c:v>
                </c:pt>
                <c:pt idx="19">
                  <c:v>17.839840485263402</c:v>
                </c:pt>
                <c:pt idx="20">
                  <c:v>18.76814752569463</c:v>
                </c:pt>
                <c:pt idx="21">
                  <c:v>19.696454566125858</c:v>
                </c:pt>
                <c:pt idx="22">
                  <c:v>20.624761606557087</c:v>
                </c:pt>
                <c:pt idx="23">
                  <c:v>21.553068646988315</c:v>
                </c:pt>
                <c:pt idx="24">
                  <c:v>22.481375687419543</c:v>
                </c:pt>
                <c:pt idx="25">
                  <c:v>23.409682727850772</c:v>
                </c:pt>
                <c:pt idx="26">
                  <c:v>24.337989768282</c:v>
                </c:pt>
                <c:pt idx="27">
                  <c:v>25.266296808713228</c:v>
                </c:pt>
                <c:pt idx="28">
                  <c:v>26.194603849144457</c:v>
                </c:pt>
                <c:pt idx="29">
                  <c:v>27.122910889575685</c:v>
                </c:pt>
                <c:pt idx="30">
                  <c:v>28.051217930006914</c:v>
                </c:pt>
                <c:pt idx="31">
                  <c:v>28.979524970438142</c:v>
                </c:pt>
                <c:pt idx="32">
                  <c:v>29.90783201086937</c:v>
                </c:pt>
                <c:pt idx="33">
                  <c:v>30.836139051300599</c:v>
                </c:pt>
                <c:pt idx="34">
                  <c:v>31.764446091731827</c:v>
                </c:pt>
                <c:pt idx="35">
                  <c:v>32.692753132163055</c:v>
                </c:pt>
                <c:pt idx="36">
                  <c:v>33.621060172594284</c:v>
                </c:pt>
                <c:pt idx="37">
                  <c:v>34.549367213025512</c:v>
                </c:pt>
                <c:pt idx="38">
                  <c:v>35.47767425345674</c:v>
                </c:pt>
                <c:pt idx="39">
                  <c:v>36.405981293887969</c:v>
                </c:pt>
                <c:pt idx="40">
                  <c:v>37.334288334319197</c:v>
                </c:pt>
                <c:pt idx="41">
                  <c:v>38.262595374750425</c:v>
                </c:pt>
                <c:pt idx="42">
                  <c:v>39.190902415181654</c:v>
                </c:pt>
                <c:pt idx="43">
                  <c:v>40.119209455612882</c:v>
                </c:pt>
                <c:pt idx="44">
                  <c:v>41.047516496044111</c:v>
                </c:pt>
                <c:pt idx="45">
                  <c:v>41.975823536475339</c:v>
                </c:pt>
                <c:pt idx="46">
                  <c:v>42.904130576906567</c:v>
                </c:pt>
                <c:pt idx="47">
                  <c:v>43.832437617337796</c:v>
                </c:pt>
                <c:pt idx="48">
                  <c:v>44.760744657769024</c:v>
                </c:pt>
                <c:pt idx="49">
                  <c:v>45.689051698200252</c:v>
                </c:pt>
                <c:pt idx="50">
                  <c:v>46.617358738631481</c:v>
                </c:pt>
                <c:pt idx="51">
                  <c:v>47.545665779062709</c:v>
                </c:pt>
                <c:pt idx="52">
                  <c:v>48.473972819493937</c:v>
                </c:pt>
                <c:pt idx="53">
                  <c:v>49.402279859925166</c:v>
                </c:pt>
                <c:pt idx="54">
                  <c:v>50.330586900356394</c:v>
                </c:pt>
                <c:pt idx="55">
                  <c:v>51.258893940787623</c:v>
                </c:pt>
                <c:pt idx="56">
                  <c:v>52.187200981218851</c:v>
                </c:pt>
                <c:pt idx="57">
                  <c:v>53.115508021650079</c:v>
                </c:pt>
                <c:pt idx="58">
                  <c:v>54.043815062081308</c:v>
                </c:pt>
                <c:pt idx="59">
                  <c:v>54.972122102512536</c:v>
                </c:pt>
                <c:pt idx="60">
                  <c:v>55.900429142943764</c:v>
                </c:pt>
                <c:pt idx="61">
                  <c:v>56.828736183374993</c:v>
                </c:pt>
                <c:pt idx="62">
                  <c:v>57.757043223806221</c:v>
                </c:pt>
                <c:pt idx="63">
                  <c:v>58.685350264237449</c:v>
                </c:pt>
                <c:pt idx="64">
                  <c:v>59.613657304668678</c:v>
                </c:pt>
                <c:pt idx="65">
                  <c:v>60.541964345099906</c:v>
                </c:pt>
                <c:pt idx="66">
                  <c:v>61.470271385531134</c:v>
                </c:pt>
                <c:pt idx="67">
                  <c:v>62.398578425962363</c:v>
                </c:pt>
                <c:pt idx="68">
                  <c:v>63.326885466393591</c:v>
                </c:pt>
                <c:pt idx="69">
                  <c:v>64.255192506824827</c:v>
                </c:pt>
                <c:pt idx="70">
                  <c:v>65.183499547256062</c:v>
                </c:pt>
                <c:pt idx="71">
                  <c:v>66.111806587687298</c:v>
                </c:pt>
                <c:pt idx="72">
                  <c:v>67.040113628118533</c:v>
                </c:pt>
                <c:pt idx="73">
                  <c:v>67.968420668549768</c:v>
                </c:pt>
                <c:pt idx="74">
                  <c:v>68.896727708981004</c:v>
                </c:pt>
                <c:pt idx="75">
                  <c:v>69.825034749412239</c:v>
                </c:pt>
                <c:pt idx="76">
                  <c:v>70.753341789843475</c:v>
                </c:pt>
                <c:pt idx="77">
                  <c:v>71.68164883027471</c:v>
                </c:pt>
                <c:pt idx="78">
                  <c:v>72.609955870705946</c:v>
                </c:pt>
                <c:pt idx="79">
                  <c:v>73.538262911137181</c:v>
                </c:pt>
                <c:pt idx="80">
                  <c:v>74.466569951568417</c:v>
                </c:pt>
                <c:pt idx="81">
                  <c:v>75.394876991999652</c:v>
                </c:pt>
                <c:pt idx="82">
                  <c:v>76.323184032430888</c:v>
                </c:pt>
                <c:pt idx="83">
                  <c:v>77.251491072862123</c:v>
                </c:pt>
                <c:pt idx="84">
                  <c:v>78.179798113293359</c:v>
                </c:pt>
                <c:pt idx="85">
                  <c:v>79.108105153724594</c:v>
                </c:pt>
                <c:pt idx="86">
                  <c:v>80.03641219415583</c:v>
                </c:pt>
                <c:pt idx="87">
                  <c:v>80.964719234587065</c:v>
                </c:pt>
                <c:pt idx="88">
                  <c:v>81.8930262750183</c:v>
                </c:pt>
                <c:pt idx="89">
                  <c:v>82.821333315449536</c:v>
                </c:pt>
                <c:pt idx="90">
                  <c:v>83.749640355880771</c:v>
                </c:pt>
                <c:pt idx="91">
                  <c:v>84.677947396312007</c:v>
                </c:pt>
                <c:pt idx="92">
                  <c:v>85.606254436743242</c:v>
                </c:pt>
                <c:pt idx="93">
                  <c:v>86.534561477174478</c:v>
                </c:pt>
                <c:pt idx="94">
                  <c:v>87.462868517605713</c:v>
                </c:pt>
                <c:pt idx="95">
                  <c:v>88.391175558036949</c:v>
                </c:pt>
                <c:pt idx="96">
                  <c:v>89.319482598468184</c:v>
                </c:pt>
                <c:pt idx="97">
                  <c:v>90.24778963889942</c:v>
                </c:pt>
                <c:pt idx="98">
                  <c:v>91.176096679330655</c:v>
                </c:pt>
                <c:pt idx="99">
                  <c:v>92.104403719761891</c:v>
                </c:pt>
              </c:numCache>
            </c:numRef>
          </c:xVal>
          <c:yVal>
            <c:numRef>
              <c:f>Calc_Area!$I$623:$I$722</c:f>
              <c:numCache>
                <c:formatCode>General</c:formatCode>
                <c:ptCount val="100"/>
                <c:pt idx="0">
                  <c:v>1.0049498762520634E-2</c:v>
                </c:pt>
                <c:pt idx="1">
                  <c:v>5.4948341473493881E-2</c:v>
                </c:pt>
                <c:pt idx="2">
                  <c:v>9.7810813604054497E-2</c:v>
                </c:pt>
                <c:pt idx="3">
                  <c:v>0.13872927399666679</c:v>
                </c:pt>
                <c:pt idx="4">
                  <c:v>0.17779189259229378</c:v>
                </c:pt>
                <c:pt idx="5">
                  <c:v>0.21508284041649192</c:v>
                </c:pt>
                <c:pt idx="6">
                  <c:v>0.2506824709487559</c:v>
                </c:pt>
                <c:pt idx="7">
                  <c:v>0.28466749326592344</c:v>
                </c:pt>
                <c:pt idx="8">
                  <c:v>0.31711113733272395</c:v>
                </c:pt>
                <c:pt idx="9">
                  <c:v>0.34808331179563495</c:v>
                </c:pt>
                <c:pt idx="10">
                  <c:v>0.37765075462005626</c:v>
                </c:pt>
                <c:pt idx="11">
                  <c:v>0.40587717689538971</c:v>
                </c:pt>
                <c:pt idx="12">
                  <c:v>0.43282340011789205</c:v>
                </c:pt>
                <c:pt idx="13">
                  <c:v>0.45854748724711547</c:v>
                </c:pt>
                <c:pt idx="14">
                  <c:v>0.48310486781832968</c:v>
                </c:pt>
                <c:pt idx="15">
                  <c:v>0.50654845738051646</c:v>
                </c:pt>
                <c:pt idx="16">
                  <c:v>0.52892877151729822</c:v>
                </c:pt>
                <c:pt idx="17">
                  <c:v>0.55029403469648819</c:v>
                </c:pt>
                <c:pt idx="18">
                  <c:v>0.57069028418280998</c:v>
                </c:pt>
                <c:pt idx="19">
                  <c:v>0.59016146923769219</c:v>
                </c:pt>
                <c:pt idx="20">
                  <c:v>0.60874954581989582</c:v>
                </c:pt>
                <c:pt idx="21">
                  <c:v>0.62649456699102546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0D-4F79-9F1A-8E227BAAE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292616"/>
        <c:axId val="259293008"/>
      </c:scatterChart>
      <c:valAx>
        <c:axId val="25929261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0.0" sourceLinked="0"/>
        <c:majorTickMark val="cross"/>
        <c:minorTickMark val="in"/>
        <c:tickLblPos val="nextTo"/>
        <c:spPr>
          <a:noFill/>
        </c:spPr>
        <c:crossAx val="259293008"/>
        <c:crosses val="autoZero"/>
        <c:crossBetween val="midCat"/>
      </c:valAx>
      <c:valAx>
        <c:axId val="259293008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CDF,</a:t>
                </a:r>
                <a:r>
                  <a:rPr lang="en-US" sz="1100" baseline="0"/>
                  <a:t> F(t) = Pr(T ≤ t)</a:t>
                </a:r>
                <a:endParaRPr lang="en-US" sz="1100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noFill/>
        </c:spPr>
        <c:crossAx val="259292616"/>
        <c:crosses val="autoZero"/>
        <c:crossBetween val="midCat"/>
        <c:majorUnit val="0.05"/>
        <c:minorUnit val="1.0000000000000005E-2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Samples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521266073194766E-2"/>
          <c:y val="0.13425925925925927"/>
          <c:w val="0.91295746785361032"/>
          <c:h val="0.651589384660250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Calc_Area!$P$627:$P$633</c:f>
              <c:strCache>
                <c:ptCount val="7"/>
                <c:pt idx="0">
                  <c:v>0.142176745</c:v>
                </c:pt>
                <c:pt idx="3">
                  <c:v>50.62727229</c:v>
                </c:pt>
                <c:pt idx="6">
                  <c:v>117.940733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4F81BD"/>
              </a:solidFill>
            </a:ln>
            <a:effectLst/>
          </c:spPr>
          <c:invertIfNegative val="0"/>
          <c:cat>
            <c:numRef>
              <c:f>Calc_Area!$P$627:$P$633</c:f>
              <c:numCache>
                <c:formatCode>General</c:formatCode>
                <c:ptCount val="7"/>
                <c:pt idx="0">
                  <c:v>0.14217674541434719</c:v>
                </c:pt>
                <c:pt idx="3">
                  <c:v>50.627272288580997</c:v>
                </c:pt>
                <c:pt idx="6">
                  <c:v>117.94073301280318</c:v>
                </c:pt>
              </c:numCache>
            </c:numRef>
          </c:cat>
          <c:val>
            <c:numRef>
              <c:f>Calc_Area!$N$627:$N$633</c:f>
              <c:numCache>
                <c:formatCode>General</c:formatCode>
                <c:ptCount val="7"/>
                <c:pt idx="0">
                  <c:v>55</c:v>
                </c:pt>
                <c:pt idx="1">
                  <c:v>19</c:v>
                </c:pt>
                <c:pt idx="2">
                  <c:v>15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5-45BD-A2F0-394D3925A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axId val="259293792"/>
        <c:axId val="259294184"/>
      </c:barChart>
      <c:catAx>
        <c:axId val="25929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crossAx val="259294184"/>
        <c:crosses val="autoZero"/>
        <c:auto val="0"/>
        <c:lblAlgn val="ctr"/>
        <c:lblOffset val="100"/>
        <c:tickMarkSkip val="6"/>
        <c:noMultiLvlLbl val="0"/>
      </c:catAx>
      <c:valAx>
        <c:axId val="259294184"/>
        <c:scaling>
          <c:orientation val="minMax"/>
        </c:scaling>
        <c:delete val="1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one"/>
        <c:crossAx val="259293792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50000">
          <a:srgbClr val="4F81BD">
            <a:tint val="44500"/>
            <a:satMod val="160000"/>
          </a:srgbClr>
        </a:gs>
        <a:gs pos="100000">
          <a:schemeClr val="bg1"/>
        </a:gs>
      </a:gsLst>
      <a:lin ang="5400000" scaled="0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Jeffreys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Jeffreys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Calc_Area!$H$931:$H$1030</c:f>
              <c:numCache>
                <c:formatCode>0.0E+00</c:formatCode>
                <c:ptCount val="100"/>
                <c:pt idx="0" formatCode="0.00E+00">
                  <c:v>1.2459393588662407E-3</c:v>
                </c:pt>
                <c:pt idx="1">
                  <c:v>6.9566250809910274E-3</c:v>
                </c:pt>
                <c:pt idx="2">
                  <c:v>1.2667310803115815E-2</c:v>
                </c:pt>
                <c:pt idx="3">
                  <c:v>1.8377996525240602E-2</c:v>
                </c:pt>
                <c:pt idx="4">
                  <c:v>2.4088682247365389E-2</c:v>
                </c:pt>
                <c:pt idx="5">
                  <c:v>2.9799367969490176E-2</c:v>
                </c:pt>
                <c:pt idx="6">
                  <c:v>3.551005369161496E-2</c:v>
                </c:pt>
                <c:pt idx="7">
                  <c:v>4.1220739413739743E-2</c:v>
                </c:pt>
                <c:pt idx="8">
                  <c:v>4.6931425135864527E-2</c:v>
                </c:pt>
                <c:pt idx="9">
                  <c:v>5.264211085798931E-2</c:v>
                </c:pt>
                <c:pt idx="10">
                  <c:v>5.8352796580114094E-2</c:v>
                </c:pt>
                <c:pt idx="11">
                  <c:v>6.4063482302238878E-2</c:v>
                </c:pt>
                <c:pt idx="12">
                  <c:v>6.9774168024363661E-2</c:v>
                </c:pt>
                <c:pt idx="13">
                  <c:v>7.5484853746488445E-2</c:v>
                </c:pt>
                <c:pt idx="14">
                  <c:v>8.1195539468613229E-2</c:v>
                </c:pt>
                <c:pt idx="15">
                  <c:v>8.6906225190738012E-2</c:v>
                </c:pt>
                <c:pt idx="16">
                  <c:v>9.2616910912862796E-2</c:v>
                </c:pt>
                <c:pt idx="17">
                  <c:v>9.832759663498758E-2</c:v>
                </c:pt>
                <c:pt idx="18">
                  <c:v>0.10403828235711236</c:v>
                </c:pt>
                <c:pt idx="19">
                  <c:v>0.10974896807923715</c:v>
                </c:pt>
                <c:pt idx="20">
                  <c:v>0.11545965380136193</c:v>
                </c:pt>
                <c:pt idx="21">
                  <c:v>0.12117033952348671</c:v>
                </c:pt>
                <c:pt idx="22">
                  <c:v>0.12688102524561151</c:v>
                </c:pt>
                <c:pt idx="23">
                  <c:v>0.13259171096773631</c:v>
                </c:pt>
                <c:pt idx="24">
                  <c:v>0.13830239668986111</c:v>
                </c:pt>
                <c:pt idx="25">
                  <c:v>0.1440130824119859</c:v>
                </c:pt>
                <c:pt idx="26">
                  <c:v>0.1497237681341107</c:v>
                </c:pt>
                <c:pt idx="27">
                  <c:v>0.1554344538562355</c:v>
                </c:pt>
                <c:pt idx="28">
                  <c:v>0.1611451395783603</c:v>
                </c:pt>
                <c:pt idx="29">
                  <c:v>0.16685582530048509</c:v>
                </c:pt>
                <c:pt idx="30">
                  <c:v>0.17256651102260989</c:v>
                </c:pt>
                <c:pt idx="31">
                  <c:v>0.17827719674473469</c:v>
                </c:pt>
                <c:pt idx="32">
                  <c:v>0.18398788246685949</c:v>
                </c:pt>
                <c:pt idx="33">
                  <c:v>0.18969856818898428</c:v>
                </c:pt>
                <c:pt idx="34">
                  <c:v>0.19540925391110908</c:v>
                </c:pt>
                <c:pt idx="35">
                  <c:v>0.20111993963323388</c:v>
                </c:pt>
                <c:pt idx="36">
                  <c:v>0.20683062535535868</c:v>
                </c:pt>
                <c:pt idx="37">
                  <c:v>0.21254131107748347</c:v>
                </c:pt>
                <c:pt idx="38">
                  <c:v>0.21825199679960827</c:v>
                </c:pt>
                <c:pt idx="39">
                  <c:v>0.22396268252173307</c:v>
                </c:pt>
                <c:pt idx="40">
                  <c:v>0.22967336824385787</c:v>
                </c:pt>
                <c:pt idx="41">
                  <c:v>0.23538405396598266</c:v>
                </c:pt>
                <c:pt idx="42">
                  <c:v>0.24109473968810746</c:v>
                </c:pt>
                <c:pt idx="43">
                  <c:v>0.24680542541023226</c:v>
                </c:pt>
                <c:pt idx="44">
                  <c:v>0.25251611113235706</c:v>
                </c:pt>
                <c:pt idx="45">
                  <c:v>0.25822679685448185</c:v>
                </c:pt>
                <c:pt idx="46">
                  <c:v>0.26393748257660665</c:v>
                </c:pt>
                <c:pt idx="47">
                  <c:v>0.26964816829873145</c:v>
                </c:pt>
                <c:pt idx="48">
                  <c:v>0.27535885402085625</c:v>
                </c:pt>
                <c:pt idx="49">
                  <c:v>0.28106953974298104</c:v>
                </c:pt>
                <c:pt idx="50">
                  <c:v>0.28678022546510584</c:v>
                </c:pt>
                <c:pt idx="51">
                  <c:v>0.29249091118723064</c:v>
                </c:pt>
                <c:pt idx="52">
                  <c:v>0.29820159690935544</c:v>
                </c:pt>
                <c:pt idx="53">
                  <c:v>0.30391228263148024</c:v>
                </c:pt>
                <c:pt idx="54">
                  <c:v>0.30962296835360503</c:v>
                </c:pt>
                <c:pt idx="55">
                  <c:v>0.31533365407572983</c:v>
                </c:pt>
                <c:pt idx="56">
                  <c:v>0.32104433979785463</c:v>
                </c:pt>
                <c:pt idx="57">
                  <c:v>0.32675502551997943</c:v>
                </c:pt>
                <c:pt idx="58">
                  <c:v>0.33246571124210422</c:v>
                </c:pt>
                <c:pt idx="59">
                  <c:v>0.33817639696422902</c:v>
                </c:pt>
                <c:pt idx="60">
                  <c:v>0.34388708268635382</c:v>
                </c:pt>
                <c:pt idx="61">
                  <c:v>0.34959776840847862</c:v>
                </c:pt>
                <c:pt idx="62">
                  <c:v>0.35530845413060341</c:v>
                </c:pt>
                <c:pt idx="63">
                  <c:v>0.36101913985272821</c:v>
                </c:pt>
                <c:pt idx="64">
                  <c:v>0.36672982557485301</c:v>
                </c:pt>
                <c:pt idx="65">
                  <c:v>0.37244051129697781</c:v>
                </c:pt>
                <c:pt idx="66">
                  <c:v>0.3781511970191026</c:v>
                </c:pt>
                <c:pt idx="67">
                  <c:v>0.3838618827412274</c:v>
                </c:pt>
                <c:pt idx="68">
                  <c:v>0.3895725684633522</c:v>
                </c:pt>
                <c:pt idx="69">
                  <c:v>0.395283254185477</c:v>
                </c:pt>
                <c:pt idx="70">
                  <c:v>0.40099393990760179</c:v>
                </c:pt>
                <c:pt idx="71">
                  <c:v>0.40670462562972659</c:v>
                </c:pt>
                <c:pt idx="72">
                  <c:v>0.41241531135185139</c:v>
                </c:pt>
                <c:pt idx="73">
                  <c:v>0.41812599707397619</c:v>
                </c:pt>
                <c:pt idx="74">
                  <c:v>0.42383668279610098</c:v>
                </c:pt>
                <c:pt idx="75">
                  <c:v>0.42954736851822578</c:v>
                </c:pt>
                <c:pt idx="76">
                  <c:v>0.43525805424035058</c:v>
                </c:pt>
                <c:pt idx="77">
                  <c:v>0.44096873996247538</c:v>
                </c:pt>
                <c:pt idx="78">
                  <c:v>0.44667942568460017</c:v>
                </c:pt>
                <c:pt idx="79">
                  <c:v>0.45239011140672497</c:v>
                </c:pt>
                <c:pt idx="80">
                  <c:v>0.45810079712884977</c:v>
                </c:pt>
                <c:pt idx="81">
                  <c:v>0.46381148285097457</c:v>
                </c:pt>
                <c:pt idx="82">
                  <c:v>0.46952216857309936</c:v>
                </c:pt>
                <c:pt idx="83">
                  <c:v>0.47523285429522416</c:v>
                </c:pt>
                <c:pt idx="84">
                  <c:v>0.48094354001734896</c:v>
                </c:pt>
                <c:pt idx="85">
                  <c:v>0.48665422573947376</c:v>
                </c:pt>
                <c:pt idx="86">
                  <c:v>0.49236491146159855</c:v>
                </c:pt>
                <c:pt idx="87">
                  <c:v>0.49807559718372335</c:v>
                </c:pt>
                <c:pt idx="88">
                  <c:v>0.50378628290584815</c:v>
                </c:pt>
                <c:pt idx="89">
                  <c:v>0.50949696862797289</c:v>
                </c:pt>
                <c:pt idx="90">
                  <c:v>0.51520765435009763</c:v>
                </c:pt>
                <c:pt idx="91">
                  <c:v>0.52091834007222237</c:v>
                </c:pt>
                <c:pt idx="92">
                  <c:v>0.52662902579434712</c:v>
                </c:pt>
                <c:pt idx="93">
                  <c:v>0.53233971151647186</c:v>
                </c:pt>
                <c:pt idx="94">
                  <c:v>0.5380503972385966</c:v>
                </c:pt>
                <c:pt idx="95">
                  <c:v>0.54376108296072134</c:v>
                </c:pt>
                <c:pt idx="96">
                  <c:v>0.54947176868284608</c:v>
                </c:pt>
                <c:pt idx="97">
                  <c:v>0.55518245440497083</c:v>
                </c:pt>
                <c:pt idx="98">
                  <c:v>0.56089314012709557</c:v>
                </c:pt>
                <c:pt idx="99">
                  <c:v>0.56660382584922031</c:v>
                </c:pt>
              </c:numCache>
            </c:numRef>
          </c:xVal>
          <c:yVal>
            <c:numRef>
              <c:f>Calc_Area!$I$931:$I$1030</c:f>
              <c:numCache>
                <c:formatCode>General</c:formatCode>
                <c:ptCount val="100"/>
                <c:pt idx="0">
                  <c:v>9.0234454174526117</c:v>
                </c:pt>
                <c:pt idx="1">
                  <c:v>3.8297173210403543</c:v>
                </c:pt>
                <c:pt idx="2">
                  <c:v>2.8462703978258053</c:v>
                </c:pt>
                <c:pt idx="3">
                  <c:v>2.3698938961611375</c:v>
                </c:pt>
                <c:pt idx="4">
                  <c:v>2.0760529619592498</c:v>
                </c:pt>
                <c:pt idx="5">
                  <c:v>1.872043017829325</c:v>
                </c:pt>
                <c:pt idx="6">
                  <c:v>1.7199887659338127</c:v>
                </c:pt>
                <c:pt idx="7">
                  <c:v>1.6011533294885059</c:v>
                </c:pt>
                <c:pt idx="8">
                  <c:v>1.5050682046464496</c:v>
                </c:pt>
                <c:pt idx="9">
                  <c:v>1.4253661523987835</c:v>
                </c:pt>
                <c:pt idx="10">
                  <c:v>1.3579231101556859</c:v>
                </c:pt>
                <c:pt idx="11">
                  <c:v>1.2999350688393654</c:v>
                </c:pt>
                <c:pt idx="12">
                  <c:v>1.2494204101787727</c:v>
                </c:pt>
                <c:pt idx="13">
                  <c:v>1.2049338443054309</c:v>
                </c:pt>
                <c:pt idx="14">
                  <c:v>1.1653932385240828</c:v>
                </c:pt>
                <c:pt idx="15">
                  <c:v>1.1299702073208431</c:v>
                </c:pt>
                <c:pt idx="16">
                  <c:v>1.0980184583451176</c:v>
                </c:pt>
                <c:pt idx="17">
                  <c:v>1.0690254054052002</c:v>
                </c:pt>
                <c:pt idx="18">
                  <c:v>1.0425786177170746</c:v>
                </c:pt>
                <c:pt idx="19">
                  <c:v>1.0183420134488734</c:v>
                </c:pt>
                <c:pt idx="20">
                  <c:v>0.99603862095051832</c:v>
                </c:pt>
                <c:pt idx="21">
                  <c:v>0.97543786885694861</c:v>
                </c:pt>
                <c:pt idx="22">
                  <c:v>0.95634606322325333</c:v>
                </c:pt>
                <c:pt idx="23">
                  <c:v>0.93859914856310489</c:v>
                </c:pt>
                <c:pt idx="24">
                  <c:v>0.92205713260577793</c:v>
                </c:pt>
                <c:pt idx="25">
                  <c:v>0.90659974109785646</c:v>
                </c:pt>
                <c:pt idx="26">
                  <c:v>0.89212299437039844</c:v>
                </c:pt>
                <c:pt idx="27">
                  <c:v>0.87853648322256883</c:v>
                </c:pt>
                <c:pt idx="28">
                  <c:v>0.86576118139096425</c:v>
                </c:pt>
                <c:pt idx="29">
                  <c:v>0.85372767405165639</c:v>
                </c:pt>
                <c:pt idx="30">
                  <c:v>0.84237471200496417</c:v>
                </c:pt>
                <c:pt idx="31">
                  <c:v>0.83164802309796682</c:v>
                </c:pt>
                <c:pt idx="32">
                  <c:v>0.82149932851487761</c:v>
                </c:pt>
                <c:pt idx="33">
                  <c:v>0.81188552349205922</c:v>
                </c:pt>
                <c:pt idx="34">
                  <c:v>0.80276799095383033</c:v>
                </c:pt>
                <c:pt idx="35">
                  <c:v>0.79411202332960795</c:v>
                </c:pt>
                <c:pt idx="36">
                  <c:v>0.78588633297725408</c:v>
                </c:pt>
                <c:pt idx="37">
                  <c:v>0.77806263561329891</c:v>
                </c:pt>
                <c:pt idx="38">
                  <c:v>0.77061529423562103</c:v>
                </c:pt>
                <c:pt idx="39">
                  <c:v>0.76352101343553025</c:v>
                </c:pt>
                <c:pt idx="40">
                  <c:v>0.75675857589427964</c:v>
                </c:pt>
                <c:pt idx="41">
                  <c:v>0.75030861436291418</c:v>
                </c:pt>
                <c:pt idx="42">
                  <c:v>0.74415341362339238</c:v>
                </c:pt>
                <c:pt idx="43">
                  <c:v>0.73827673789050585</c:v>
                </c:pt>
                <c:pt idx="44">
                  <c:v>0.73266367988966219</c:v>
                </c:pt>
                <c:pt idx="45">
                  <c:v>0.72730052847439253</c:v>
                </c:pt>
                <c:pt idx="46">
                  <c:v>0.72217465215985799</c:v>
                </c:pt>
                <c:pt idx="47">
                  <c:v>0.71727439636823709</c:v>
                </c:pt>
                <c:pt idx="48">
                  <c:v>0.71258899252704744</c:v>
                </c:pt>
                <c:pt idx="49">
                  <c:v>0.70810847744666383</c:v>
                </c:pt>
                <c:pt idx="50">
                  <c:v>0.70382362163994472</c:v>
                </c:pt>
                <c:pt idx="51">
                  <c:v>0.69972586544403059</c:v>
                </c:pt>
                <c:pt idx="52">
                  <c:v>0.69580726196925347</c:v>
                </c:pt>
                <c:pt idx="53">
                  <c:v>0.69206042603850337</c:v>
                </c:pt>
                <c:pt idx="54">
                  <c:v>0.68847848839698655</c:v>
                </c:pt>
                <c:pt idx="55">
                  <c:v>0.68505505457085769</c:v>
                </c:pt>
                <c:pt idx="56">
                  <c:v>0.68178416783680007</c:v>
                </c:pt>
                <c:pt idx="57">
                  <c:v>0.67866027583572508</c:v>
                </c:pt>
                <c:pt idx="58">
                  <c:v>0.67567820042445026</c:v>
                </c:pt>
                <c:pt idx="59">
                  <c:v>0.67283311041115446</c:v>
                </c:pt>
                <c:pt idx="60">
                  <c:v>0.67012049686499342</c:v>
                </c:pt>
                <c:pt idx="61">
                  <c:v>0.66753615072863237</c:v>
                </c:pt>
                <c:pt idx="62">
                  <c:v>0.66507614249558267</c:v>
                </c:pt>
                <c:pt idx="63">
                  <c:v>0.6627368037428879</c:v>
                </c:pt>
                <c:pt idx="64">
                  <c:v>0.66051471033458242</c:v>
                </c:pt>
                <c:pt idx="65">
                  <c:v>0.65840666713297236</c:v>
                </c:pt>
                <c:pt idx="66">
                  <c:v>0.65640969407366456</c:v>
                </c:pt>
                <c:pt idx="67">
                  <c:v>0.65452101347674774</c:v>
                </c:pt>
                <c:pt idx="68">
                  <c:v>0.65273803848099898</c:v>
                </c:pt>
                <c:pt idx="69">
                  <c:v>0.65105836250066795</c:v>
                </c:pt>
                <c:pt idx="70">
                  <c:v>0.64947974961558874</c:v>
                </c:pt>
                <c:pt idx="71">
                  <c:v>0.6480001258152337</c:v>
                </c:pt>
                <c:pt idx="72">
                  <c:v>0.64661757102606343</c:v>
                </c:pt>
                <c:pt idx="73">
                  <c:v>0.64533031185929113</c:v>
                </c:pt>
                <c:pt idx="74">
                  <c:v>0.64413671502307857</c:v>
                </c:pt>
                <c:pt idx="75">
                  <c:v>0.64303528134934584</c:v>
                </c:pt>
                <c:pt idx="76">
                  <c:v>0.64202464039090434</c:v>
                </c:pt>
                <c:pt idx="77">
                  <c:v>0.64110354554957416</c:v>
                </c:pt>
                <c:pt idx="78">
                  <c:v>0.64027086970043012</c:v>
                </c:pt>
                <c:pt idx="79">
                  <c:v>0.63952560128136637</c:v>
                </c:pt>
                <c:pt idx="80">
                  <c:v>0.63886684082086065</c:v>
                </c:pt>
                <c:pt idx="81">
                  <c:v>0.63829379788018303</c:v>
                </c:pt>
                <c:pt idx="82">
                  <c:v>0.63780578838939561</c:v>
                </c:pt>
                <c:pt idx="83">
                  <c:v>0.63740223235934401</c:v>
                </c:pt>
                <c:pt idx="84">
                  <c:v>0.63708265195451586</c:v>
                </c:pt>
                <c:pt idx="85">
                  <c:v>0.63684666991412608</c:v>
                </c:pt>
                <c:pt idx="86">
                  <c:v>0.63669400831115885</c:v>
                </c:pt>
                <c:pt idx="87">
                  <c:v>0.63662448764133206</c:v>
                </c:pt>
                <c:pt idx="88">
                  <c:v>0.6366380262361262</c:v>
                </c:pt>
                <c:pt idx="89">
                  <c:v>0.63673463999610225</c:v>
                </c:pt>
                <c:pt idx="90">
                  <c:v>0.63691444244280548</c:v>
                </c:pt>
                <c:pt idx="91">
                  <c:v>0.63717764508958574</c:v>
                </c:pt>
                <c:pt idx="92">
                  <c:v>0.63752455813371056</c:v>
                </c:pt>
                <c:pt idx="93">
                  <c:v>0.63795559147421776</c:v>
                </c:pt>
                <c:pt idx="94">
                  <c:v>0.63847125606206989</c:v>
                </c:pt>
                <c:pt idx="95">
                  <c:v>0.63907216559136315</c:v>
                </c:pt>
                <c:pt idx="96">
                  <c:v>0.63975903854261629</c:v>
                </c:pt>
                <c:pt idx="97">
                  <c:v>0.64053270059157785</c:v>
                </c:pt>
                <c:pt idx="98">
                  <c:v>0.64139408739952619</c:v>
                </c:pt>
                <c:pt idx="99">
                  <c:v>0.64234424780376898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E2-4645-BEC4-45FA139ACE8A}"/>
            </c:ext>
          </c:extLst>
        </c:ser>
        <c:ser>
          <c:idx val="1"/>
          <c:order val="1"/>
          <c:tx>
            <c:v>Jeffreys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Calc_Area!$H$931:$H$1030</c:f>
              <c:numCache>
                <c:formatCode>0.0E+00</c:formatCode>
                <c:ptCount val="100"/>
                <c:pt idx="0" formatCode="0.00E+00">
                  <c:v>1.2459393588662407E-3</c:v>
                </c:pt>
                <c:pt idx="1">
                  <c:v>6.9566250809910274E-3</c:v>
                </c:pt>
                <c:pt idx="2">
                  <c:v>1.2667310803115815E-2</c:v>
                </c:pt>
                <c:pt idx="3">
                  <c:v>1.8377996525240602E-2</c:v>
                </c:pt>
                <c:pt idx="4">
                  <c:v>2.4088682247365389E-2</c:v>
                </c:pt>
                <c:pt idx="5">
                  <c:v>2.9799367969490176E-2</c:v>
                </c:pt>
                <c:pt idx="6">
                  <c:v>3.551005369161496E-2</c:v>
                </c:pt>
                <c:pt idx="7">
                  <c:v>4.1220739413739743E-2</c:v>
                </c:pt>
                <c:pt idx="8">
                  <c:v>4.6931425135864527E-2</c:v>
                </c:pt>
                <c:pt idx="9">
                  <c:v>5.264211085798931E-2</c:v>
                </c:pt>
                <c:pt idx="10">
                  <c:v>5.8352796580114094E-2</c:v>
                </c:pt>
                <c:pt idx="11">
                  <c:v>6.4063482302238878E-2</c:v>
                </c:pt>
                <c:pt idx="12">
                  <c:v>6.9774168024363661E-2</c:v>
                </c:pt>
                <c:pt idx="13">
                  <c:v>7.5484853746488445E-2</c:v>
                </c:pt>
                <c:pt idx="14">
                  <c:v>8.1195539468613229E-2</c:v>
                </c:pt>
                <c:pt idx="15">
                  <c:v>8.6906225190738012E-2</c:v>
                </c:pt>
                <c:pt idx="16">
                  <c:v>9.2616910912862796E-2</c:v>
                </c:pt>
                <c:pt idx="17">
                  <c:v>9.832759663498758E-2</c:v>
                </c:pt>
                <c:pt idx="18">
                  <c:v>0.10403828235711236</c:v>
                </c:pt>
                <c:pt idx="19">
                  <c:v>0.10974896807923715</c:v>
                </c:pt>
                <c:pt idx="20">
                  <c:v>0.11545965380136193</c:v>
                </c:pt>
                <c:pt idx="21">
                  <c:v>0.12117033952348671</c:v>
                </c:pt>
                <c:pt idx="22">
                  <c:v>0.12688102524561151</c:v>
                </c:pt>
                <c:pt idx="23">
                  <c:v>0.13259171096773631</c:v>
                </c:pt>
                <c:pt idx="24">
                  <c:v>0.13830239668986111</c:v>
                </c:pt>
                <c:pt idx="25">
                  <c:v>0.1440130824119859</c:v>
                </c:pt>
                <c:pt idx="26">
                  <c:v>0.1497237681341107</c:v>
                </c:pt>
                <c:pt idx="27">
                  <c:v>0.1554344538562355</c:v>
                </c:pt>
                <c:pt idx="28">
                  <c:v>0.1611451395783603</c:v>
                </c:pt>
                <c:pt idx="29">
                  <c:v>0.16685582530048509</c:v>
                </c:pt>
                <c:pt idx="30">
                  <c:v>0.17256651102260989</c:v>
                </c:pt>
                <c:pt idx="31">
                  <c:v>0.17827719674473469</c:v>
                </c:pt>
                <c:pt idx="32">
                  <c:v>0.18398788246685949</c:v>
                </c:pt>
                <c:pt idx="33">
                  <c:v>0.18969856818898428</c:v>
                </c:pt>
                <c:pt idx="34">
                  <c:v>0.19540925391110908</c:v>
                </c:pt>
                <c:pt idx="35">
                  <c:v>0.20111993963323388</c:v>
                </c:pt>
                <c:pt idx="36">
                  <c:v>0.20683062535535868</c:v>
                </c:pt>
                <c:pt idx="37">
                  <c:v>0.21254131107748347</c:v>
                </c:pt>
                <c:pt idx="38">
                  <c:v>0.21825199679960827</c:v>
                </c:pt>
                <c:pt idx="39">
                  <c:v>0.22396268252173307</c:v>
                </c:pt>
                <c:pt idx="40">
                  <c:v>0.22967336824385787</c:v>
                </c:pt>
                <c:pt idx="41">
                  <c:v>0.23538405396598266</c:v>
                </c:pt>
                <c:pt idx="42">
                  <c:v>0.24109473968810746</c:v>
                </c:pt>
                <c:pt idx="43">
                  <c:v>0.24680542541023226</c:v>
                </c:pt>
                <c:pt idx="44">
                  <c:v>0.25251611113235706</c:v>
                </c:pt>
                <c:pt idx="45">
                  <c:v>0.25822679685448185</c:v>
                </c:pt>
                <c:pt idx="46">
                  <c:v>0.26393748257660665</c:v>
                </c:pt>
                <c:pt idx="47">
                  <c:v>0.26964816829873145</c:v>
                </c:pt>
                <c:pt idx="48">
                  <c:v>0.27535885402085625</c:v>
                </c:pt>
                <c:pt idx="49">
                  <c:v>0.28106953974298104</c:v>
                </c:pt>
                <c:pt idx="50">
                  <c:v>0.28678022546510584</c:v>
                </c:pt>
                <c:pt idx="51">
                  <c:v>0.29249091118723064</c:v>
                </c:pt>
                <c:pt idx="52">
                  <c:v>0.29820159690935544</c:v>
                </c:pt>
                <c:pt idx="53">
                  <c:v>0.30391228263148024</c:v>
                </c:pt>
                <c:pt idx="54">
                  <c:v>0.30962296835360503</c:v>
                </c:pt>
                <c:pt idx="55">
                  <c:v>0.31533365407572983</c:v>
                </c:pt>
                <c:pt idx="56">
                  <c:v>0.32104433979785463</c:v>
                </c:pt>
                <c:pt idx="57">
                  <c:v>0.32675502551997943</c:v>
                </c:pt>
                <c:pt idx="58">
                  <c:v>0.33246571124210422</c:v>
                </c:pt>
                <c:pt idx="59">
                  <c:v>0.33817639696422902</c:v>
                </c:pt>
                <c:pt idx="60">
                  <c:v>0.34388708268635382</c:v>
                </c:pt>
                <c:pt idx="61">
                  <c:v>0.34959776840847862</c:v>
                </c:pt>
                <c:pt idx="62">
                  <c:v>0.35530845413060341</c:v>
                </c:pt>
                <c:pt idx="63">
                  <c:v>0.36101913985272821</c:v>
                </c:pt>
                <c:pt idx="64">
                  <c:v>0.36672982557485301</c:v>
                </c:pt>
                <c:pt idx="65">
                  <c:v>0.37244051129697781</c:v>
                </c:pt>
                <c:pt idx="66">
                  <c:v>0.3781511970191026</c:v>
                </c:pt>
                <c:pt idx="67">
                  <c:v>0.3838618827412274</c:v>
                </c:pt>
                <c:pt idx="68">
                  <c:v>0.3895725684633522</c:v>
                </c:pt>
                <c:pt idx="69">
                  <c:v>0.395283254185477</c:v>
                </c:pt>
                <c:pt idx="70">
                  <c:v>0.40099393990760179</c:v>
                </c:pt>
                <c:pt idx="71">
                  <c:v>0.40670462562972659</c:v>
                </c:pt>
                <c:pt idx="72">
                  <c:v>0.41241531135185139</c:v>
                </c:pt>
                <c:pt idx="73">
                  <c:v>0.41812599707397619</c:v>
                </c:pt>
                <c:pt idx="74">
                  <c:v>0.42383668279610098</c:v>
                </c:pt>
                <c:pt idx="75">
                  <c:v>0.42954736851822578</c:v>
                </c:pt>
                <c:pt idx="76">
                  <c:v>0.43525805424035058</c:v>
                </c:pt>
                <c:pt idx="77">
                  <c:v>0.44096873996247538</c:v>
                </c:pt>
                <c:pt idx="78">
                  <c:v>0.44667942568460017</c:v>
                </c:pt>
                <c:pt idx="79">
                  <c:v>0.45239011140672497</c:v>
                </c:pt>
                <c:pt idx="80">
                  <c:v>0.45810079712884977</c:v>
                </c:pt>
                <c:pt idx="81">
                  <c:v>0.46381148285097457</c:v>
                </c:pt>
                <c:pt idx="82">
                  <c:v>0.46952216857309936</c:v>
                </c:pt>
                <c:pt idx="83">
                  <c:v>0.47523285429522416</c:v>
                </c:pt>
                <c:pt idx="84">
                  <c:v>0.48094354001734896</c:v>
                </c:pt>
                <c:pt idx="85">
                  <c:v>0.48665422573947376</c:v>
                </c:pt>
                <c:pt idx="86">
                  <c:v>0.49236491146159855</c:v>
                </c:pt>
                <c:pt idx="87">
                  <c:v>0.49807559718372335</c:v>
                </c:pt>
                <c:pt idx="88">
                  <c:v>0.50378628290584815</c:v>
                </c:pt>
                <c:pt idx="89">
                  <c:v>0.50949696862797289</c:v>
                </c:pt>
                <c:pt idx="90">
                  <c:v>0.51520765435009763</c:v>
                </c:pt>
                <c:pt idx="91">
                  <c:v>0.52091834007222237</c:v>
                </c:pt>
                <c:pt idx="92">
                  <c:v>0.52662902579434712</c:v>
                </c:pt>
                <c:pt idx="93">
                  <c:v>0.53233971151647186</c:v>
                </c:pt>
                <c:pt idx="94">
                  <c:v>0.5380503972385966</c:v>
                </c:pt>
                <c:pt idx="95">
                  <c:v>0.54376108296072134</c:v>
                </c:pt>
                <c:pt idx="96">
                  <c:v>0.54947176868284608</c:v>
                </c:pt>
                <c:pt idx="97">
                  <c:v>0.55518245440497083</c:v>
                </c:pt>
                <c:pt idx="98">
                  <c:v>0.56089314012709557</c:v>
                </c:pt>
                <c:pt idx="99">
                  <c:v>0.56660382584922031</c:v>
                </c:pt>
              </c:numCache>
            </c:numRef>
          </c:xVal>
          <c:yVal>
            <c:numRef>
              <c:f>Calc_Area!$J$931:$J$1030</c:f>
              <c:numCache>
                <c:formatCode>General</c:formatCode>
                <c:ptCount val="100"/>
                <c:pt idx="0">
                  <c:v>1.1988125654592603</c:v>
                </c:pt>
                <c:pt idx="1">
                  <c:v>2.6979521666904764</c:v>
                </c:pt>
                <c:pt idx="2">
                  <c:v>3.4664679625775734</c:v>
                </c:pt>
                <c:pt idx="3">
                  <c:v>3.9744825367601404</c:v>
                </c:pt>
                <c:pt idx="4">
                  <c:v>4.3301169474524839</c:v>
                </c:pt>
                <c:pt idx="5">
                  <c:v>4.5817545433825746</c:v>
                </c:pt>
                <c:pt idx="6">
                  <c:v>4.7567600812604098</c:v>
                </c:pt>
                <c:pt idx="7">
                  <c:v>4.8727187468404942</c:v>
                </c:pt>
                <c:pt idx="8">
                  <c:v>4.9418804642078422</c:v>
                </c:pt>
                <c:pt idx="9">
                  <c:v>4.9732625205297767</c:v>
                </c:pt>
                <c:pt idx="10">
                  <c:v>4.9737712277258312</c:v>
                </c:pt>
                <c:pt idx="11">
                  <c:v>4.9488546485398954</c:v>
                </c:pt>
                <c:pt idx="12">
                  <c:v>4.9029084697437844</c:v>
                </c:pt>
                <c:pt idx="13">
                  <c:v>4.8395419546339875</c:v>
                </c:pt>
                <c:pt idx="14">
                  <c:v>4.7617597850407591</c:v>
                </c:pt>
                <c:pt idx="15">
                  <c:v>4.6720908579570661</c:v>
                </c:pt>
                <c:pt idx="16">
                  <c:v>4.5726822644055725</c:v>
                </c:pt>
                <c:pt idx="17">
                  <c:v>4.4653696275217998</c:v>
                </c:pt>
                <c:pt idx="18">
                  <c:v>4.3517309148675922</c:v>
                </c:pt>
                <c:pt idx="19">
                  <c:v>4.2331284025913503</c:v>
                </c:pt>
                <c:pt idx="20">
                  <c:v>4.1107419541757562</c:v>
                </c:pt>
                <c:pt idx="21">
                  <c:v>3.985595805685207</c:v>
                </c:pt>
                <c:pt idx="22">
                  <c:v>3.85858041022649</c:v>
                </c:pt>
                <c:pt idx="23">
                  <c:v>3.7304704632698775</c:v>
                </c:pt>
                <c:pt idx="24">
                  <c:v>3.6019399334706321</c:v>
                </c:pt>
                <c:pt idx="25">
                  <c:v>3.4735747150018232</c:v>
                </c:pt>
                <c:pt idx="26">
                  <c:v>3.3458833682766973</c:v>
                </c:pt>
                <c:pt idx="27">
                  <c:v>3.2193063076267272</c:v>
                </c:pt>
                <c:pt idx="28">
                  <c:v>3.0942237146846669</c:v>
                </c:pt>
                <c:pt idx="29">
                  <c:v>2.9709623966137624</c:v>
                </c:pt>
                <c:pt idx="30">
                  <c:v>2.8498017632572696</c:v>
                </c:pt>
                <c:pt idx="31">
                  <c:v>2.7309790628196517</c:v>
                </c:pt>
                <c:pt idx="32">
                  <c:v>2.6146939890577436</c:v>
                </c:pt>
                <c:pt idx="33">
                  <c:v>2.5011127521747021</c:v>
                </c:pt>
                <c:pt idx="34">
                  <c:v>2.3903716892385276</c:v>
                </c:pt>
                <c:pt idx="35">
                  <c:v>2.2825804769417317</c:v>
                </c:pt>
                <c:pt idx="36">
                  <c:v>2.1778249991038696</c:v>
                </c:pt>
                <c:pt idx="37">
                  <c:v>2.0761699129150539</c:v>
                </c:pt>
                <c:pt idx="38">
                  <c:v>1.9776609510890766</c:v>
                </c:pt>
                <c:pt idx="39">
                  <c:v>1.8823269915072833</c:v>
                </c:pt>
                <c:pt idx="40">
                  <c:v>1.7901819213336509</c:v>
                </c:pt>
                <c:pt idx="41">
                  <c:v>1.7012263187705503</c:v>
                </c:pt>
                <c:pt idx="42">
                  <c:v>1.6154489724496452</c:v>
                </c:pt>
                <c:pt idx="43">
                  <c:v>1.5328282557927499</c:v>
                </c:pt>
                <c:pt idx="44">
                  <c:v>1.4533333714379875</c:v>
                </c:pt>
                <c:pt idx="45">
                  <c:v>1.3769254789316003</c:v>
                </c:pt>
                <c:pt idx="46">
                  <c:v>1.3035587172745711</c:v>
                </c:pt>
                <c:pt idx="47">
                  <c:v>1.2331811325372006</c:v>
                </c:pt>
                <c:pt idx="48">
                  <c:v>1.1657355195744783</c:v>
                </c:pt>
                <c:pt idx="49">
                  <c:v>1.1011601858585256</c:v>
                </c:pt>
                <c:pt idx="50">
                  <c:v>1.0393896445652773</c:v>
                </c:pt>
                <c:pt idx="51">
                  <c:v>0.98035524328947021</c:v>
                </c:pt>
                <c:pt idx="52">
                  <c:v>0.92398573409716422</c:v>
                </c:pt>
                <c:pt idx="53">
                  <c:v>0.87020779004376703</c:v>
                </c:pt>
                <c:pt idx="54">
                  <c:v>0.81894647277558141</c:v>
                </c:pt>
                <c:pt idx="55">
                  <c:v>0.77012565538405664</c:v>
                </c:pt>
                <c:pt idx="56">
                  <c:v>0.72366840428564261</c:v>
                </c:pt>
                <c:pt idx="57">
                  <c:v>0.67949732354919801</c:v>
                </c:pt>
                <c:pt idx="58">
                  <c:v>0.63753486478118049</c:v>
                </c:pt>
                <c:pt idx="59">
                  <c:v>0.59770360540118272</c:v>
                </c:pt>
                <c:pt idx="60">
                  <c:v>0.55992649789239313</c:v>
                </c:pt>
                <c:pt idx="61">
                  <c:v>0.52412709238949007</c:v>
                </c:pt>
                <c:pt idx="62">
                  <c:v>0.49022973476711312</c:v>
                </c:pt>
                <c:pt idx="63">
                  <c:v>0.45815974221261835</c:v>
                </c:pt>
                <c:pt idx="64">
                  <c:v>0.42784355810496177</c:v>
                </c:pt>
                <c:pt idx="65">
                  <c:v>0.39920888787521613</c:v>
                </c:pt>
                <c:pt idx="66">
                  <c:v>0.37218481739161402</c:v>
                </c:pt>
                <c:pt idx="67">
                  <c:v>0.34670191529157623</c:v>
                </c:pt>
                <c:pt idx="68">
                  <c:v>0.32269232057361658</c:v>
                </c:pt>
                <c:pt idx="69">
                  <c:v>0.30008981666211104</c:v>
                </c:pt>
                <c:pt idx="70">
                  <c:v>0.27882989306666406</c:v>
                </c:pt>
                <c:pt idx="71">
                  <c:v>0.25884979567428534</c:v>
                </c:pt>
                <c:pt idx="72">
                  <c:v>0.24008856663603567</c:v>
                </c:pt>
                <c:pt idx="73">
                  <c:v>0.22248707473949417</c:v>
                </c:pt>
                <c:pt idx="74">
                  <c:v>0.20598803709374064</c:v>
                </c:pt>
                <c:pt idx="75">
                  <c:v>0.19053603289396784</c:v>
                </c:pt>
                <c:pt idx="76">
                  <c:v>0.17607750997787636</c:v>
                </c:pt>
                <c:pt idx="77">
                  <c:v>0.16256078483524067</c:v>
                </c:pt>
                <c:pt idx="78">
                  <c:v>0.14993603668503189</c:v>
                </c:pt>
                <c:pt idx="79">
                  <c:v>0.13815529619098085</c:v>
                </c:pt>
                <c:pt idx="80">
                  <c:v>0.12717242934607481</c:v>
                </c:pt>
                <c:pt idx="81">
                  <c:v>0.11694311701900199</c:v>
                </c:pt>
                <c:pt idx="82">
                  <c:v>0.10742483062069724</c:v>
                </c:pt>
                <c:pt idx="83">
                  <c:v>9.8576804316698879E-2</c:v>
                </c:pt>
                <c:pt idx="84">
                  <c:v>9.0360004180798148E-2</c:v>
                </c:pt>
                <c:pt idx="85">
                  <c:v>8.2737094657281171E-2</c:v>
                </c:pt>
                <c:pt idx="86">
                  <c:v>7.567240267274733E-2</c:v>
                </c:pt>
                <c:pt idx="87">
                  <c:v>6.9131879713910077E-2</c:v>
                </c:pt>
                <c:pt idx="88">
                  <c:v>6.3083062164803569E-2</c:v>
                </c:pt>
                <c:pt idx="89">
                  <c:v>5.7495030175317118E-2</c:v>
                </c:pt>
                <c:pt idx="90">
                  <c:v>5.2338365312850257E-2</c:v>
                </c:pt>
                <c:pt idx="91">
                  <c:v>4.7585107230015002E-2</c:v>
                </c:pt>
                <c:pt idx="92">
                  <c:v>4.3208709563636101E-2</c:v>
                </c:pt>
                <c:pt idx="93">
                  <c:v>3.9183995263715542E-2</c:v>
                </c:pt>
                <c:pt idx="94">
                  <c:v>3.5487111535468407E-2</c:v>
                </c:pt>
                <c:pt idx="95">
                  <c:v>3.2095484562932028E-2</c:v>
                </c:pt>
                <c:pt idx="96">
                  <c:v>2.8987774168933642E-2</c:v>
                </c:pt>
                <c:pt idx="97">
                  <c:v>2.6143828553320286E-2</c:v>
                </c:pt>
                <c:pt idx="98">
                  <c:v>2.3544639239248578E-2</c:v>
                </c:pt>
                <c:pt idx="99">
                  <c:v>2.1172296345959553E-2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E2-4645-BEC4-45FA139AC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094160"/>
        <c:axId val="446094552"/>
      </c:scatterChart>
      <c:valAx>
        <c:axId val="44609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446094552"/>
        <c:crosses val="autoZero"/>
        <c:crossBetween val="midCat"/>
      </c:valAx>
      <c:valAx>
        <c:axId val="44609455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446094160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CNI Update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46867294997216"/>
          <c:y val="0.1171165682880821"/>
          <c:w val="0.78105986041517528"/>
          <c:h val="0.71229027271967205"/>
        </c:manualLayout>
      </c:layout>
      <c:scatterChart>
        <c:scatterStyle val="smoothMarker"/>
        <c:varyColors val="0"/>
        <c:ser>
          <c:idx val="0"/>
          <c:order val="0"/>
          <c:tx>
            <c:v>CNI Prior</c:v>
          </c:tx>
          <c:spPr>
            <a:ln w="317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Calc_Area!$K$931:$K$1030</c:f>
              <c:numCache>
                <c:formatCode>0.0E+00</c:formatCode>
                <c:ptCount val="100"/>
                <c:pt idx="0" formatCode="0.00E+00">
                  <c:v>8.8340275561963754E-4</c:v>
                </c:pt>
                <c:pt idx="1">
                  <c:v>8.1218394171563308E-3</c:v>
                </c:pt>
                <c:pt idx="2">
                  <c:v>1.5360276078693023E-2</c:v>
                </c:pt>
                <c:pt idx="3">
                  <c:v>2.2598712740229718E-2</c:v>
                </c:pt>
                <c:pt idx="4">
                  <c:v>2.9837149401766412E-2</c:v>
                </c:pt>
                <c:pt idx="5">
                  <c:v>3.7075586063303106E-2</c:v>
                </c:pt>
                <c:pt idx="6">
                  <c:v>4.4314022724839801E-2</c:v>
                </c:pt>
                <c:pt idx="7">
                  <c:v>5.1552459386376495E-2</c:v>
                </c:pt>
                <c:pt idx="8">
                  <c:v>5.879089604791319E-2</c:v>
                </c:pt>
                <c:pt idx="9">
                  <c:v>6.6029332709449884E-2</c:v>
                </c:pt>
                <c:pt idx="10">
                  <c:v>7.3267769370986571E-2</c:v>
                </c:pt>
                <c:pt idx="11">
                  <c:v>8.0506206032523259E-2</c:v>
                </c:pt>
                <c:pt idx="12">
                  <c:v>8.7744642694059946E-2</c:v>
                </c:pt>
                <c:pt idx="13">
                  <c:v>9.4983079355596634E-2</c:v>
                </c:pt>
                <c:pt idx="14">
                  <c:v>0.10222151601713332</c:v>
                </c:pt>
                <c:pt idx="15">
                  <c:v>0.10945995267867001</c:v>
                </c:pt>
                <c:pt idx="16">
                  <c:v>0.1166983893402067</c:v>
                </c:pt>
                <c:pt idx="17">
                  <c:v>0.12393682600174338</c:v>
                </c:pt>
                <c:pt idx="18">
                  <c:v>0.13117526266328008</c:v>
                </c:pt>
                <c:pt idx="19">
                  <c:v>0.13841369932481679</c:v>
                </c:pt>
                <c:pt idx="20">
                  <c:v>0.14565213598635349</c:v>
                </c:pt>
                <c:pt idx="21">
                  <c:v>0.15289057264789019</c:v>
                </c:pt>
                <c:pt idx="22">
                  <c:v>0.16012900930942689</c:v>
                </c:pt>
                <c:pt idx="23">
                  <c:v>0.16736744597096359</c:v>
                </c:pt>
                <c:pt idx="24">
                  <c:v>0.17460588263250029</c:v>
                </c:pt>
                <c:pt idx="25">
                  <c:v>0.18184431929403699</c:v>
                </c:pt>
                <c:pt idx="26">
                  <c:v>0.18908275595557369</c:v>
                </c:pt>
                <c:pt idx="27">
                  <c:v>0.1963211926171104</c:v>
                </c:pt>
                <c:pt idx="28">
                  <c:v>0.2035596292786471</c:v>
                </c:pt>
                <c:pt idx="29">
                  <c:v>0.2107980659401838</c:v>
                </c:pt>
                <c:pt idx="30">
                  <c:v>0.2180365026017205</c:v>
                </c:pt>
                <c:pt idx="31">
                  <c:v>0.2252749392632572</c:v>
                </c:pt>
                <c:pt idx="32">
                  <c:v>0.2325133759247939</c:v>
                </c:pt>
                <c:pt idx="33">
                  <c:v>0.2397518125863306</c:v>
                </c:pt>
                <c:pt idx="34">
                  <c:v>0.24699024924786731</c:v>
                </c:pt>
                <c:pt idx="35">
                  <c:v>0.25422868590940401</c:v>
                </c:pt>
                <c:pt idx="36">
                  <c:v>0.26146712257094068</c:v>
                </c:pt>
                <c:pt idx="37">
                  <c:v>0.26870555923247735</c:v>
                </c:pt>
                <c:pt idx="38">
                  <c:v>0.27594399589401403</c:v>
                </c:pt>
                <c:pt idx="39">
                  <c:v>0.2831824325555507</c:v>
                </c:pt>
                <c:pt idx="40">
                  <c:v>0.29042086921708737</c:v>
                </c:pt>
                <c:pt idx="41">
                  <c:v>0.29765930587862405</c:v>
                </c:pt>
                <c:pt idx="42">
                  <c:v>0.30489774254016072</c:v>
                </c:pt>
                <c:pt idx="43">
                  <c:v>0.31213617920169739</c:v>
                </c:pt>
                <c:pt idx="44">
                  <c:v>0.31937461586323407</c:v>
                </c:pt>
                <c:pt idx="45">
                  <c:v>0.32661305252477074</c:v>
                </c:pt>
                <c:pt idx="46">
                  <c:v>0.33385148918630742</c:v>
                </c:pt>
                <c:pt idx="47">
                  <c:v>0.34108992584784409</c:v>
                </c:pt>
                <c:pt idx="48">
                  <c:v>0.34832836250938076</c:v>
                </c:pt>
                <c:pt idx="49">
                  <c:v>0.35556679917091744</c:v>
                </c:pt>
                <c:pt idx="50">
                  <c:v>0.36280523583245411</c:v>
                </c:pt>
                <c:pt idx="51">
                  <c:v>0.37004367249399078</c:v>
                </c:pt>
                <c:pt idx="52">
                  <c:v>0.37728210915552746</c:v>
                </c:pt>
                <c:pt idx="53">
                  <c:v>0.38452054581706413</c:v>
                </c:pt>
                <c:pt idx="54">
                  <c:v>0.3917589824786008</c:v>
                </c:pt>
                <c:pt idx="55">
                  <c:v>0.39899741914013748</c:v>
                </c:pt>
                <c:pt idx="56">
                  <c:v>0.40623585580167415</c:v>
                </c:pt>
                <c:pt idx="57">
                  <c:v>0.41347429246321082</c:v>
                </c:pt>
                <c:pt idx="58">
                  <c:v>0.4207127291247475</c:v>
                </c:pt>
                <c:pt idx="59">
                  <c:v>0.42795116578628417</c:v>
                </c:pt>
                <c:pt idx="60">
                  <c:v>0.43518960244782084</c:v>
                </c:pt>
                <c:pt idx="61">
                  <c:v>0.44242803910935752</c:v>
                </c:pt>
                <c:pt idx="62">
                  <c:v>0.44966647577089419</c:v>
                </c:pt>
                <c:pt idx="63">
                  <c:v>0.45690491243243087</c:v>
                </c:pt>
                <c:pt idx="64">
                  <c:v>0.46414334909396754</c:v>
                </c:pt>
                <c:pt idx="65">
                  <c:v>0.47138178575550421</c:v>
                </c:pt>
                <c:pt idx="66">
                  <c:v>0.47862022241704089</c:v>
                </c:pt>
                <c:pt idx="67">
                  <c:v>0.48585865907857756</c:v>
                </c:pt>
                <c:pt idx="68">
                  <c:v>0.49309709574011423</c:v>
                </c:pt>
                <c:pt idx="69">
                  <c:v>0.50033553240165096</c:v>
                </c:pt>
                <c:pt idx="70">
                  <c:v>0.50757396906318764</c:v>
                </c:pt>
                <c:pt idx="71">
                  <c:v>0.51481240572472431</c:v>
                </c:pt>
                <c:pt idx="72">
                  <c:v>0.52205084238626098</c:v>
                </c:pt>
                <c:pt idx="73">
                  <c:v>0.52928927904779766</c:v>
                </c:pt>
                <c:pt idx="74">
                  <c:v>0.53652771570933433</c:v>
                </c:pt>
                <c:pt idx="75">
                  <c:v>0.543766152370871</c:v>
                </c:pt>
                <c:pt idx="76">
                  <c:v>0.55100458903240768</c:v>
                </c:pt>
                <c:pt idx="77">
                  <c:v>0.55824302569394435</c:v>
                </c:pt>
                <c:pt idx="78">
                  <c:v>0.56548146235548102</c:v>
                </c:pt>
                <c:pt idx="79">
                  <c:v>0.5727198990170177</c:v>
                </c:pt>
                <c:pt idx="80">
                  <c:v>0.57995833567855437</c:v>
                </c:pt>
                <c:pt idx="81">
                  <c:v>0.58719677234009104</c:v>
                </c:pt>
                <c:pt idx="82">
                  <c:v>0.59443520900162772</c:v>
                </c:pt>
                <c:pt idx="83">
                  <c:v>0.60167364566316439</c:v>
                </c:pt>
                <c:pt idx="84">
                  <c:v>0.60891208232470106</c:v>
                </c:pt>
                <c:pt idx="85">
                  <c:v>0.61615051898623774</c:v>
                </c:pt>
                <c:pt idx="86">
                  <c:v>0.62338895564777441</c:v>
                </c:pt>
                <c:pt idx="87">
                  <c:v>0.63062739230931109</c:v>
                </c:pt>
                <c:pt idx="88">
                  <c:v>0.63786582897084776</c:v>
                </c:pt>
                <c:pt idx="89">
                  <c:v>0.64510426563238443</c:v>
                </c:pt>
                <c:pt idx="90">
                  <c:v>0.65234270229392111</c:v>
                </c:pt>
                <c:pt idx="91">
                  <c:v>0.65958113895545778</c:v>
                </c:pt>
                <c:pt idx="92">
                  <c:v>0.66681957561699445</c:v>
                </c:pt>
                <c:pt idx="93">
                  <c:v>0.67405801227853113</c:v>
                </c:pt>
                <c:pt idx="94">
                  <c:v>0.6812964489400678</c:v>
                </c:pt>
                <c:pt idx="95">
                  <c:v>0.68853488560160447</c:v>
                </c:pt>
                <c:pt idx="96">
                  <c:v>0.69577332226314115</c:v>
                </c:pt>
                <c:pt idx="97">
                  <c:v>0.70301175892467782</c:v>
                </c:pt>
                <c:pt idx="98">
                  <c:v>0.71025019558621449</c:v>
                </c:pt>
                <c:pt idx="99">
                  <c:v>0.71748863224775117</c:v>
                </c:pt>
              </c:numCache>
            </c:numRef>
          </c:xVal>
          <c:yVal>
            <c:numRef>
              <c:f>Calc_Area!$L$931:$L$1030</c:f>
              <c:numCache>
                <c:formatCode>General</c:formatCode>
                <c:ptCount val="100"/>
                <c:pt idx="0">
                  <c:v>39.045346840316405</c:v>
                </c:pt>
                <c:pt idx="1">
                  <c:v>12.553620661460982</c:v>
                </c:pt>
                <c:pt idx="2">
                  <c:v>8.8974032992509908</c:v>
                </c:pt>
                <c:pt idx="3">
                  <c:v>7.1483428671653719</c:v>
                </c:pt>
                <c:pt idx="4">
                  <c:v>6.0613537434164693</c:v>
                </c:pt>
                <c:pt idx="5">
                  <c:v>5.2968873031713342</c:v>
                </c:pt>
                <c:pt idx="6">
                  <c:v>4.7187254820909335</c:v>
                </c:pt>
                <c:pt idx="7">
                  <c:v>4.2600427735988058</c:v>
                </c:pt>
                <c:pt idx="8">
                  <c:v>3.8836352147741064</c:v>
                </c:pt>
                <c:pt idx="9">
                  <c:v>3.566891732644446</c:v>
                </c:pt>
                <c:pt idx="10">
                  <c:v>3.2951523899422561</c:v>
                </c:pt>
                <c:pt idx="11">
                  <c:v>3.0584274341325144</c:v>
                </c:pt>
                <c:pt idx="12">
                  <c:v>2.8496349350261214</c:v>
                </c:pt>
                <c:pt idx="13">
                  <c:v>2.6635900057364443</c:v>
                </c:pt>
                <c:pt idx="14">
                  <c:v>2.4963936498038874</c:v>
                </c:pt>
                <c:pt idx="15">
                  <c:v>2.3450468021870918</c:v>
                </c:pt>
                <c:pt idx="16">
                  <c:v>2.2071975217444493</c:v>
                </c:pt>
                <c:pt idx="17">
                  <c:v>2.0809701688695226</c:v>
                </c:pt>
                <c:pt idx="18">
                  <c:v>1.9648468431025901</c:v>
                </c:pt>
                <c:pt idx="19">
                  <c:v>1.8575831464860741</c:v>
                </c:pt>
                <c:pt idx="20">
                  <c:v>1.7581470914829684</c:v>
                </c:pt>
                <c:pt idx="21">
                  <c:v>1.6656739791745203</c:v>
                </c:pt>
                <c:pt idx="22">
                  <c:v>1.5794325259442323</c:v>
                </c:pt>
                <c:pt idx="23">
                  <c:v>1.498799059828317</c:v>
                </c:pt>
                <c:pt idx="24">
                  <c:v>1.4232376026030498</c:v>
                </c:pt>
                <c:pt idx="25">
                  <c:v>1.3522843094803174</c:v>
                </c:pt>
                <c:pt idx="26">
                  <c:v>1.2855351792664325</c:v>
                </c:pt>
                <c:pt idx="27">
                  <c:v>1.2226362497864731</c:v>
                </c:pt>
                <c:pt idx="28">
                  <c:v>1.1632757035639001</c:v>
                </c:pt>
                <c:pt idx="29">
                  <c:v>1.1071774572869388</c:v>
                </c:pt>
                <c:pt idx="30">
                  <c:v>1.0540959150387093</c:v>
                </c:pt>
                <c:pt idx="31">
                  <c:v>1.003811642531977</c:v>
                </c:pt>
                <c:pt idx="32">
                  <c:v>0.95612777634157742</c:v>
                </c:pt>
                <c:pt idx="33">
                  <c:v>0.91086702427545541</c:v>
                </c:pt>
                <c:pt idx="34">
                  <c:v>0.86786914464991283</c:v>
                </c:pt>
                <c:pt idx="35">
                  <c:v>0.82698881619184095</c:v>
                </c:pt>
                <c:pt idx="36">
                  <c:v>0.78809382860271948</c:v>
                </c:pt>
                <c:pt idx="37">
                  <c:v>0.75106353793431446</c:v>
                </c:pt>
                <c:pt idx="38">
                  <c:v>0.71578754189236959</c:v>
                </c:pt>
                <c:pt idx="39">
                  <c:v>0.68216453876805294</c:v>
                </c:pt>
                <c:pt idx="40">
                  <c:v>0.65010134046263501</c:v>
                </c:pt>
                <c:pt idx="41">
                  <c:v>0.61951201543902079</c:v>
                </c:pt>
                <c:pt idx="42">
                  <c:v>0.59031714171996119</c:v>
                </c:pt>
                <c:pt idx="43">
                  <c:v>0.56244315349528573</c:v>
                </c:pt>
                <c:pt idx="44">
                  <c:v>0.53582176768115863</c:v>
                </c:pt>
                <c:pt idx="45">
                  <c:v>0.5103894790323189</c:v>
                </c:pt>
                <c:pt idx="46">
                  <c:v>0.48608711425127099</c:v>
                </c:pt>
                <c:pt idx="47">
                  <c:v>0.46285943704987537</c:v>
                </c:pt>
                <c:pt idx="48">
                  <c:v>0.44065479736426472</c:v>
                </c:pt>
                <c:pt idx="49">
                  <c:v>0.41942481895470624</c:v>
                </c:pt>
                <c:pt idx="50">
                  <c:v>0.39912412047871321</c:v>
                </c:pt>
                <c:pt idx="51">
                  <c:v>0.37971006584052025</c:v>
                </c:pt>
                <c:pt idx="52">
                  <c:v>0.36114254021889364</c:v>
                </c:pt>
                <c:pt idx="53">
                  <c:v>0.34338374867871846</c:v>
                </c:pt>
                <c:pt idx="54">
                  <c:v>0.32639803469668827</c:v>
                </c:pt>
                <c:pt idx="55">
                  <c:v>0.31015171629111937</c:v>
                </c:pt>
                <c:pt idx="56">
                  <c:v>0.29461293775150954</c:v>
                </c:pt>
                <c:pt idx="57">
                  <c:v>0.27975153522384122</c:v>
                </c:pt>
                <c:pt idx="58">
                  <c:v>0.265538914630224</c:v>
                </c:pt>
                <c:pt idx="59">
                  <c:v>0.2519479405922595</c:v>
                </c:pt>
                <c:pt idx="60">
                  <c:v>0.2389528351915608</c:v>
                </c:pt>
                <c:pt idx="61">
                  <c:v>0.22652908554224233</c:v>
                </c:pt>
                <c:pt idx="62">
                  <c:v>0.21465335927242052</c:v>
                </c:pt>
                <c:pt idx="63">
                  <c:v>0.20330342711764324</c:v>
                </c:pt>
                <c:pt idx="64">
                  <c:v>0.19245809192116031</c:v>
                </c:pt>
                <c:pt idx="65">
                  <c:v>0.18209712341601647</c:v>
                </c:pt>
                <c:pt idx="66">
                  <c:v>0.17220119823384994</c:v>
                </c:pt>
                <c:pt idx="67">
                  <c:v>0.16275184464638734</c:v>
                </c:pt>
                <c:pt idx="68">
                  <c:v>0.15373139159921734</c:v>
                </c:pt>
                <c:pt idx="69">
                  <c:v>0.14512292164446314</c:v>
                </c:pt>
                <c:pt idx="70">
                  <c:v>0.13691022742040637</c:v>
                </c:pt>
                <c:pt idx="71">
                  <c:v>0.12907777136261633</c:v>
                </c:pt>
                <c:pt idx="72">
                  <c:v>0.12161064836341996</c:v>
                </c:pt>
                <c:pt idx="73">
                  <c:v>0.11449455112509807</c:v>
                </c:pt>
                <c:pt idx="74">
                  <c:v>0.10771573797752183</c:v>
                </c:pt>
                <c:pt idx="75">
                  <c:v>0.10126100295344106</c:v>
                </c:pt>
                <c:pt idx="76">
                  <c:v>9.5117647934650787E-2</c:v>
                </c:pt>
                <c:pt idx="77">
                  <c:v>8.9273456700105683E-2</c:v>
                </c:pt>
                <c:pt idx="78">
                  <c:v>8.3716670722978934E-2</c:v>
                </c:pt>
                <c:pt idx="79">
                  <c:v>7.843596657790336E-2</c:v>
                </c:pt>
                <c:pt idx="80">
                  <c:v>7.3420434832386069E-2</c:v>
                </c:pt>
                <c:pt idx="81">
                  <c:v>6.8659560307826051E-2</c:v>
                </c:pt>
                <c:pt idx="82">
                  <c:v>6.4143203605838528E-2</c:v>
                </c:pt>
                <c:pt idx="83">
                  <c:v>5.9861583804829574E-2</c:v>
                </c:pt>
                <c:pt idx="84">
                  <c:v>5.580526224008981E-2</c:v>
                </c:pt>
                <c:pt idx="85">
                  <c:v>5.1965127288184233E-2</c:v>
                </c:pt>
                <c:pt idx="86">
                  <c:v>4.8332380083196874E-2</c:v>
                </c:pt>
                <c:pt idx="87">
                  <c:v>4.4898521098524713E-2</c:v>
                </c:pt>
                <c:pt idx="88">
                  <c:v>4.1655337533470088E-2</c:v>
                </c:pt>
                <c:pt idx="89">
                  <c:v>3.8594891448921233E-2</c:v>
                </c:pt>
                <c:pt idx="90">
                  <c:v>3.5709508600985804E-2</c:v>
                </c:pt>
                <c:pt idx="91">
                  <c:v>3.299176792560473E-2</c:v>
                </c:pt>
                <c:pt idx="92">
                  <c:v>3.0434491630962707E-2</c:v>
                </c:pt>
                <c:pt idx="93">
                  <c:v>2.8030735857968239E-2</c:v>
                </c:pt>
                <c:pt idx="94">
                  <c:v>2.5773781872230891E-2</c:v>
                </c:pt>
                <c:pt idx="95">
                  <c:v>2.3657127753850916E-2</c:v>
                </c:pt>
                <c:pt idx="96">
                  <c:v>2.1674480553978671E-2</c:v>
                </c:pt>
                <c:pt idx="97">
                  <c:v>1.9819748889528137E-2</c:v>
                </c:pt>
                <c:pt idx="98">
                  <c:v>1.8087035949657101E-2</c:v>
                </c:pt>
                <c:pt idx="99">
                  <c:v>1.6470632889679863E-2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73-4E74-968A-582AAA64D6A0}"/>
            </c:ext>
          </c:extLst>
        </c:ser>
        <c:ser>
          <c:idx val="1"/>
          <c:order val="1"/>
          <c:tx>
            <c:v>CNI Posterior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Calc_Area!$K$931:$K$1030</c:f>
              <c:numCache>
                <c:formatCode>0.0E+00</c:formatCode>
                <c:ptCount val="100"/>
                <c:pt idx="0" formatCode="0.00E+00">
                  <c:v>8.8340275561963754E-4</c:v>
                </c:pt>
                <c:pt idx="1">
                  <c:v>8.1218394171563308E-3</c:v>
                </c:pt>
                <c:pt idx="2">
                  <c:v>1.5360276078693023E-2</c:v>
                </c:pt>
                <c:pt idx="3">
                  <c:v>2.2598712740229718E-2</c:v>
                </c:pt>
                <c:pt idx="4">
                  <c:v>2.9837149401766412E-2</c:v>
                </c:pt>
                <c:pt idx="5">
                  <c:v>3.7075586063303106E-2</c:v>
                </c:pt>
                <c:pt idx="6">
                  <c:v>4.4314022724839801E-2</c:v>
                </c:pt>
                <c:pt idx="7">
                  <c:v>5.1552459386376495E-2</c:v>
                </c:pt>
                <c:pt idx="8">
                  <c:v>5.879089604791319E-2</c:v>
                </c:pt>
                <c:pt idx="9">
                  <c:v>6.6029332709449884E-2</c:v>
                </c:pt>
                <c:pt idx="10">
                  <c:v>7.3267769370986571E-2</c:v>
                </c:pt>
                <c:pt idx="11">
                  <c:v>8.0506206032523259E-2</c:v>
                </c:pt>
                <c:pt idx="12">
                  <c:v>8.7744642694059946E-2</c:v>
                </c:pt>
                <c:pt idx="13">
                  <c:v>9.4983079355596634E-2</c:v>
                </c:pt>
                <c:pt idx="14">
                  <c:v>0.10222151601713332</c:v>
                </c:pt>
                <c:pt idx="15">
                  <c:v>0.10945995267867001</c:v>
                </c:pt>
                <c:pt idx="16">
                  <c:v>0.1166983893402067</c:v>
                </c:pt>
                <c:pt idx="17">
                  <c:v>0.12393682600174338</c:v>
                </c:pt>
                <c:pt idx="18">
                  <c:v>0.13117526266328008</c:v>
                </c:pt>
                <c:pt idx="19">
                  <c:v>0.13841369932481679</c:v>
                </c:pt>
                <c:pt idx="20">
                  <c:v>0.14565213598635349</c:v>
                </c:pt>
                <c:pt idx="21">
                  <c:v>0.15289057264789019</c:v>
                </c:pt>
                <c:pt idx="22">
                  <c:v>0.16012900930942689</c:v>
                </c:pt>
                <c:pt idx="23">
                  <c:v>0.16736744597096359</c:v>
                </c:pt>
                <c:pt idx="24">
                  <c:v>0.17460588263250029</c:v>
                </c:pt>
                <c:pt idx="25">
                  <c:v>0.18184431929403699</c:v>
                </c:pt>
                <c:pt idx="26">
                  <c:v>0.18908275595557369</c:v>
                </c:pt>
                <c:pt idx="27">
                  <c:v>0.1963211926171104</c:v>
                </c:pt>
                <c:pt idx="28">
                  <c:v>0.2035596292786471</c:v>
                </c:pt>
                <c:pt idx="29">
                  <c:v>0.2107980659401838</c:v>
                </c:pt>
                <c:pt idx="30">
                  <c:v>0.2180365026017205</c:v>
                </c:pt>
                <c:pt idx="31">
                  <c:v>0.2252749392632572</c:v>
                </c:pt>
                <c:pt idx="32">
                  <c:v>0.2325133759247939</c:v>
                </c:pt>
                <c:pt idx="33">
                  <c:v>0.2397518125863306</c:v>
                </c:pt>
                <c:pt idx="34">
                  <c:v>0.24699024924786731</c:v>
                </c:pt>
                <c:pt idx="35">
                  <c:v>0.25422868590940401</c:v>
                </c:pt>
                <c:pt idx="36">
                  <c:v>0.26146712257094068</c:v>
                </c:pt>
                <c:pt idx="37">
                  <c:v>0.26870555923247735</c:v>
                </c:pt>
                <c:pt idx="38">
                  <c:v>0.27594399589401403</c:v>
                </c:pt>
                <c:pt idx="39">
                  <c:v>0.2831824325555507</c:v>
                </c:pt>
                <c:pt idx="40">
                  <c:v>0.29042086921708737</c:v>
                </c:pt>
                <c:pt idx="41">
                  <c:v>0.29765930587862405</c:v>
                </c:pt>
                <c:pt idx="42">
                  <c:v>0.30489774254016072</c:v>
                </c:pt>
                <c:pt idx="43">
                  <c:v>0.31213617920169739</c:v>
                </c:pt>
                <c:pt idx="44">
                  <c:v>0.31937461586323407</c:v>
                </c:pt>
                <c:pt idx="45">
                  <c:v>0.32661305252477074</c:v>
                </c:pt>
                <c:pt idx="46">
                  <c:v>0.33385148918630742</c:v>
                </c:pt>
                <c:pt idx="47">
                  <c:v>0.34108992584784409</c:v>
                </c:pt>
                <c:pt idx="48">
                  <c:v>0.34832836250938076</c:v>
                </c:pt>
                <c:pt idx="49">
                  <c:v>0.35556679917091744</c:v>
                </c:pt>
                <c:pt idx="50">
                  <c:v>0.36280523583245411</c:v>
                </c:pt>
                <c:pt idx="51">
                  <c:v>0.37004367249399078</c:v>
                </c:pt>
                <c:pt idx="52">
                  <c:v>0.37728210915552746</c:v>
                </c:pt>
                <c:pt idx="53">
                  <c:v>0.38452054581706413</c:v>
                </c:pt>
                <c:pt idx="54">
                  <c:v>0.3917589824786008</c:v>
                </c:pt>
                <c:pt idx="55">
                  <c:v>0.39899741914013748</c:v>
                </c:pt>
                <c:pt idx="56">
                  <c:v>0.40623585580167415</c:v>
                </c:pt>
                <c:pt idx="57">
                  <c:v>0.41347429246321082</c:v>
                </c:pt>
                <c:pt idx="58">
                  <c:v>0.4207127291247475</c:v>
                </c:pt>
                <c:pt idx="59">
                  <c:v>0.42795116578628417</c:v>
                </c:pt>
                <c:pt idx="60">
                  <c:v>0.43518960244782084</c:v>
                </c:pt>
                <c:pt idx="61">
                  <c:v>0.44242803910935752</c:v>
                </c:pt>
                <c:pt idx="62">
                  <c:v>0.44966647577089419</c:v>
                </c:pt>
                <c:pt idx="63">
                  <c:v>0.45690491243243087</c:v>
                </c:pt>
                <c:pt idx="64">
                  <c:v>0.46414334909396754</c:v>
                </c:pt>
                <c:pt idx="65">
                  <c:v>0.47138178575550421</c:v>
                </c:pt>
                <c:pt idx="66">
                  <c:v>0.47862022241704089</c:v>
                </c:pt>
                <c:pt idx="67">
                  <c:v>0.48585865907857756</c:v>
                </c:pt>
                <c:pt idx="68">
                  <c:v>0.49309709574011423</c:v>
                </c:pt>
                <c:pt idx="69">
                  <c:v>0.50033553240165096</c:v>
                </c:pt>
                <c:pt idx="70">
                  <c:v>0.50757396906318764</c:v>
                </c:pt>
                <c:pt idx="71">
                  <c:v>0.51481240572472431</c:v>
                </c:pt>
                <c:pt idx="72">
                  <c:v>0.52205084238626098</c:v>
                </c:pt>
                <c:pt idx="73">
                  <c:v>0.52928927904779766</c:v>
                </c:pt>
                <c:pt idx="74">
                  <c:v>0.53652771570933433</c:v>
                </c:pt>
                <c:pt idx="75">
                  <c:v>0.543766152370871</c:v>
                </c:pt>
                <c:pt idx="76">
                  <c:v>0.55100458903240768</c:v>
                </c:pt>
                <c:pt idx="77">
                  <c:v>0.55824302569394435</c:v>
                </c:pt>
                <c:pt idx="78">
                  <c:v>0.56548146235548102</c:v>
                </c:pt>
                <c:pt idx="79">
                  <c:v>0.5727198990170177</c:v>
                </c:pt>
                <c:pt idx="80">
                  <c:v>0.57995833567855437</c:v>
                </c:pt>
                <c:pt idx="81">
                  <c:v>0.58719677234009104</c:v>
                </c:pt>
                <c:pt idx="82">
                  <c:v>0.59443520900162772</c:v>
                </c:pt>
                <c:pt idx="83">
                  <c:v>0.60167364566316439</c:v>
                </c:pt>
                <c:pt idx="84">
                  <c:v>0.60891208232470106</c:v>
                </c:pt>
                <c:pt idx="85">
                  <c:v>0.61615051898623774</c:v>
                </c:pt>
                <c:pt idx="86">
                  <c:v>0.62338895564777441</c:v>
                </c:pt>
                <c:pt idx="87">
                  <c:v>0.63062739230931109</c:v>
                </c:pt>
                <c:pt idx="88">
                  <c:v>0.63786582897084776</c:v>
                </c:pt>
                <c:pt idx="89">
                  <c:v>0.64510426563238443</c:v>
                </c:pt>
                <c:pt idx="90">
                  <c:v>0.65234270229392111</c:v>
                </c:pt>
                <c:pt idx="91">
                  <c:v>0.65958113895545778</c:v>
                </c:pt>
                <c:pt idx="92">
                  <c:v>0.66681957561699445</c:v>
                </c:pt>
                <c:pt idx="93">
                  <c:v>0.67405801227853113</c:v>
                </c:pt>
                <c:pt idx="94">
                  <c:v>0.6812964489400678</c:v>
                </c:pt>
                <c:pt idx="95">
                  <c:v>0.68853488560160447</c:v>
                </c:pt>
                <c:pt idx="96">
                  <c:v>0.69577332226314115</c:v>
                </c:pt>
                <c:pt idx="97">
                  <c:v>0.70301175892467782</c:v>
                </c:pt>
                <c:pt idx="98">
                  <c:v>0.71025019558621449</c:v>
                </c:pt>
                <c:pt idx="99">
                  <c:v>0.71748863224775117</c:v>
                </c:pt>
              </c:numCache>
            </c:numRef>
          </c:xVal>
          <c:yVal>
            <c:numRef>
              <c:f>Calc_Area!$M$931:$M$1030</c:f>
              <c:numCache>
                <c:formatCode>General</c:formatCode>
                <c:ptCount val="100"/>
                <c:pt idx="0">
                  <c:v>1.6904845090131182</c:v>
                </c:pt>
                <c:pt idx="1">
                  <c:v>4.6804321156975748</c:v>
                </c:pt>
                <c:pt idx="2">
                  <c:v>5.8734878221800866</c:v>
                </c:pt>
                <c:pt idx="3">
                  <c:v>6.4965507599303347</c:v>
                </c:pt>
                <c:pt idx="4">
                  <c:v>6.8024651312525943</c:v>
                </c:pt>
                <c:pt idx="5">
                  <c:v>6.9051980359193443</c:v>
                </c:pt>
                <c:pt idx="6">
                  <c:v>6.869741745161777</c:v>
                </c:pt>
                <c:pt idx="7">
                  <c:v>6.7378413408540796</c:v>
                </c:pt>
                <c:pt idx="8">
                  <c:v>6.5382448845966774</c:v>
                </c:pt>
                <c:pt idx="9">
                  <c:v>6.2916356699175493</c:v>
                </c:pt>
                <c:pt idx="10">
                  <c:v>6.0133222877969725</c:v>
                </c:pt>
                <c:pt idx="11">
                  <c:v>5.7148437594726014</c:v>
                </c:pt>
                <c:pt idx="12">
                  <c:v>5.4049942688511878</c:v>
                </c:pt>
                <c:pt idx="13">
                  <c:v>5.0905125545316059</c:v>
                </c:pt>
                <c:pt idx="14">
                  <c:v>4.7765653364034408</c:v>
                </c:pt>
                <c:pt idx="15">
                  <c:v>4.4670977825309617</c:v>
                </c:pt>
                <c:pt idx="16">
                  <c:v>4.1650945281165219</c:v>
                </c:pt>
                <c:pt idx="17">
                  <c:v>3.8727783952637771</c:v>
                </c:pt>
                <c:pt idx="18">
                  <c:v>3.5917644263991169</c:v>
                </c:pt>
                <c:pt idx="19">
                  <c:v>3.3231810487181122</c:v>
                </c:pt>
                <c:pt idx="20">
                  <c:v>3.0677665344379763</c:v>
                </c:pt>
                <c:pt idx="21">
                  <c:v>2.8259465452186276</c:v>
                </c:pt>
                <c:pt idx="22">
                  <c:v>2.5978969589079282</c:v>
                </c:pt>
                <c:pt idx="23">
                  <c:v>2.3835950856655499</c:v>
                </c:pt>
                <c:pt idx="24">
                  <c:v>2.1828616148507458</c:v>
                </c:pt>
                <c:pt idx="25">
                  <c:v>1.9953950857393927</c:v>
                </c:pt>
                <c:pt idx="26">
                  <c:v>1.8208002751668786</c:v>
                </c:pt>
                <c:pt idx="27">
                  <c:v>1.6586115985017982</c:v>
                </c:pt>
                <c:pt idx="28">
                  <c:v>1.5083123968722911</c:v>
                </c:pt>
                <c:pt idx="29">
                  <c:v>1.3693508128464469</c:v>
                </c:pt>
                <c:pt idx="30">
                  <c:v>1.2411528246614449</c:v>
                </c:pt>
                <c:pt idx="31">
                  <c:v>1.1231329056508688</c:v>
                </c:pt>
                <c:pt idx="32">
                  <c:v>1.0147026936313108</c:v>
                </c:pt>
                <c:pt idx="33">
                  <c:v>0.91527798953361517</c:v>
                </c:pt>
                <c:pt idx="34">
                  <c:v>0.82428435172804571</c:v>
                </c:pt>
                <c:pt idx="35">
                  <c:v>0.74116150949551696</c:v>
                </c:pt>
                <c:pt idx="36">
                  <c:v>0.66536678383497638</c:v>
                </c:pt>
                <c:pt idx="37">
                  <c:v>0.5963776746740207</c:v>
                </c:pt>
                <c:pt idx="38">
                  <c:v>0.53369374934162261</c:v>
                </c:pt>
                <c:pt idx="39">
                  <c:v>0.47683794692085019</c:v>
                </c:pt>
                <c:pt idx="40">
                  <c:v>0.42535739608601991</c:v>
                </c:pt>
                <c:pt idx="41">
                  <c:v>0.37882382965932937</c:v>
                </c:pt>
                <c:pt idx="42">
                  <c:v>0.33683366693421962</c:v>
                </c:pt>
                <c:pt idx="43">
                  <c:v>0.29900782443543772</c:v>
                </c:pt>
                <c:pt idx="44">
                  <c:v>0.26499130692077633</c:v>
                </c:pt>
                <c:pt idx="45">
                  <c:v>0.23445262283374521</c:v>
                </c:pt>
                <c:pt idx="46">
                  <c:v>0.20708306189220335</c:v>
                </c:pt>
                <c:pt idx="47">
                  <c:v>0.18259586688188961</c:v>
                </c:pt>
                <c:pt idx="48">
                  <c:v>0.16072532688125704</c:v>
                </c:pt>
                <c:pt idx="49">
                  <c:v>0.14122581496259104</c:v>
                </c:pt>
                <c:pt idx="50">
                  <c:v>0.12387078980040216</c:v>
                </c:pt>
                <c:pt idx="51">
                  <c:v>0.10845177749241051</c:v>
                </c:pt>
                <c:pt idx="52">
                  <c:v>9.477734719454016E-2</c:v>
                </c:pt>
                <c:pt idx="53">
                  <c:v>8.2672091832451639E-2</c:v>
                </c:pt>
                <c:pt idx="54">
                  <c:v>7.1975623130124219E-2</c:v>
                </c:pt>
                <c:pt idx="55">
                  <c:v>6.2541588449409824E-2</c:v>
                </c:pt>
                <c:pt idx="56">
                  <c:v>5.4236715427924014E-2</c:v>
                </c:pt>
                <c:pt idx="57">
                  <c:v>4.6939889105395226E-2</c:v>
                </c:pt>
                <c:pt idx="58">
                  <c:v>4.0541265114254085E-2</c:v>
                </c:pt>
                <c:pt idx="59">
                  <c:v>3.4941421555740045E-2</c:v>
                </c:pt>
                <c:pt idx="60">
                  <c:v>3.0050551368179242E-2</c:v>
                </c:pt>
                <c:pt idx="61">
                  <c:v>2.5787696301824634E-2</c:v>
                </c:pt>
                <c:pt idx="62">
                  <c:v>2.208002302951291E-2</c:v>
                </c:pt>
                <c:pt idx="63">
                  <c:v>1.8862141430941719E-2</c:v>
                </c:pt>
                <c:pt idx="64">
                  <c:v>1.6075464678879794E-2</c:v>
                </c:pt>
                <c:pt idx="65">
                  <c:v>1.3667610417698137E-2</c:v>
                </c:pt>
                <c:pt idx="66">
                  <c:v>1.1591842049163794E-2</c:v>
                </c:pt>
                <c:pt idx="67">
                  <c:v>9.8065489193867022E-3</c:v>
                </c:pt>
                <c:pt idx="68">
                  <c:v>8.2747640270713976E-3</c:v>
                </c:pt>
                <c:pt idx="69">
                  <c:v>6.9637177404910352E-3</c:v>
                </c:pt>
                <c:pt idx="70">
                  <c:v>5.844425913329245E-3</c:v>
                </c:pt>
                <c:pt idx="71">
                  <c:v>4.8913107227939855E-3</c:v>
                </c:pt>
                <c:pt idx="72">
                  <c:v>4.0818525128538154E-3</c:v>
                </c:pt>
                <c:pt idx="73">
                  <c:v>3.396270907223184E-3</c:v>
                </c:pt>
                <c:pt idx="74">
                  <c:v>2.8172334574275673E-3</c:v>
                </c:pt>
                <c:pt idx="75">
                  <c:v>2.3295901078998699E-3</c:v>
                </c:pt>
                <c:pt idx="76">
                  <c:v>1.9201317899390619E-3</c:v>
                </c:pt>
                <c:pt idx="77">
                  <c:v>1.5773714971568367E-3</c:v>
                </c:pt>
                <c:pt idx="78">
                  <c:v>1.291346244684954E-3</c:v>
                </c:pt>
                <c:pt idx="79">
                  <c:v>1.0534383711016389E-3</c:v>
                </c:pt>
                <c:pt idx="80">
                  <c:v>8.5621470417124464E-4</c:v>
                </c:pt>
                <c:pt idx="81">
                  <c:v>6.9328217768827667E-4</c:v>
                </c:pt>
                <c:pt idx="82">
                  <c:v>5.5915855576551632E-4</c:v>
                </c:pt>
                <c:pt idx="83">
                  <c:v>4.4915699175702815E-4</c:v>
                </c:pt>
                <c:pt idx="84">
                  <c:v>3.5928322075495496E-4</c:v>
                </c:pt>
                <c:pt idx="85">
                  <c:v>2.8614425646695716E-4</c:v>
                </c:pt>
                <c:pt idx="86">
                  <c:v>2.2686753460682838E-4</c:v>
                </c:pt>
                <c:pt idx="87">
                  <c:v>1.7902951515479581E-4</c:v>
                </c:pt>
                <c:pt idx="88">
                  <c:v>1.4059282449832805E-4</c:v>
                </c:pt>
                <c:pt idx="89">
                  <c:v>1.0985108516303251E-4</c:v>
                </c:pt>
                <c:pt idx="90">
                  <c:v>8.5380645272957448E-5</c:v>
                </c:pt>
                <c:pt idx="91">
                  <c:v>6.5998481791742055E-5</c:v>
                </c:pt>
                <c:pt idx="92">
                  <c:v>5.0725610799120517E-5</c:v>
                </c:pt>
                <c:pt idx="93">
                  <c:v>3.8755394410520646E-5</c:v>
                </c:pt>
                <c:pt idx="94">
                  <c:v>2.9426187354669525E-5</c:v>
                </c:pt>
                <c:pt idx="95">
                  <c:v>2.219781662812934E-5</c:v>
                </c:pt>
                <c:pt idx="96">
                  <c:v>1.663143502350343E-5</c:v>
                </c:pt>
                <c:pt idx="97">
                  <c:v>1.2372333686323166E-5</c:v>
                </c:pt>
                <c:pt idx="98">
                  <c:v>9.1353402264609482E-6</c:v>
                </c:pt>
                <c:pt idx="99">
                  <c:v>6.6924673472866437E-6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73-4E74-968A-582AAA64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791680"/>
        <c:axId val="643784232"/>
      </c:scatterChart>
      <c:valAx>
        <c:axId val="6437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x</a:t>
                </a:r>
              </a:p>
            </c:rich>
          </c:tx>
          <c:overlay val="0"/>
        </c:title>
        <c:numFmt formatCode="0.0E+00" sourceLinked="0"/>
        <c:majorTickMark val="cross"/>
        <c:minorTickMark val="in"/>
        <c:tickLblPos val="nextTo"/>
        <c:spPr>
          <a:noFill/>
        </c:spPr>
        <c:crossAx val="643784232"/>
        <c:crosses val="autoZero"/>
        <c:crossBetween val="midCat"/>
      </c:valAx>
      <c:valAx>
        <c:axId val="643784232"/>
        <c:scaling>
          <c:orientation val="minMax"/>
          <c:min val="0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pdf,</a:t>
                </a:r>
                <a:r>
                  <a:rPr lang="en-US" sz="1100" baseline="0"/>
                  <a:t> f(x)</a:t>
                </a:r>
                <a:endParaRPr lang="en-US" sz="1100"/>
              </a:p>
            </c:rich>
          </c:tx>
          <c:overlay val="0"/>
        </c:title>
        <c:numFmt formatCode="General" sourceLinked="1"/>
        <c:majorTickMark val="cross"/>
        <c:minorTickMark val="in"/>
        <c:tickLblPos val="nextTo"/>
        <c:spPr>
          <a:noFill/>
        </c:spPr>
        <c:crossAx val="643791680"/>
        <c:crosses val="autoZero"/>
        <c:crossBetween val="midCat"/>
      </c:valAx>
      <c:spPr>
        <a:gradFill flip="none" rotWithShape="1">
          <a:gsLst>
            <a:gs pos="50000">
              <a:schemeClr val="accent1">
                <a:lumMod val="20000"/>
                <a:lumOff val="80000"/>
              </a:schemeClr>
            </a:gs>
            <a:gs pos="100000">
              <a:sysClr val="window" lastClr="FFFFFF"/>
            </a:gs>
          </a:gsLst>
          <a:lin ang="2700000" scaled="1"/>
          <a:tileRect/>
        </a:gra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135561918396564"/>
          <c:y val="0.14772440944881893"/>
          <c:w val="0.39990520894034143"/>
          <c:h val="0.19769573121588596"/>
        </c:manualLayout>
      </c:layout>
      <c:overlay val="0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900"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600" b="1" i="0" baseline="0"/>
              <a:t>Posterior when using the Informed Prior</a:t>
            </a:r>
            <a:endParaRPr lang="en-US" sz="12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'Bayes-Poisson'!$E$25</c:f>
                <c:numCache>
                  <c:formatCode>General</c:formatCode>
                  <c:ptCount val="1"/>
                  <c:pt idx="0">
                    <c:v>2.9089005358153664E-4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'Bayes-Poisson'!$D$24</c:f>
              <c:numCache>
                <c:formatCode>0.00E+00</c:formatCode>
                <c:ptCount val="1"/>
                <c:pt idx="0">
                  <c:v>5.9786605998707312E-6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F9-4E99-BAD0-B3526ED6D4E0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'Bayes-Poisson'!$D$23</c:f>
              <c:numCache>
                <c:formatCode>0.00E+00</c:formatCode>
                <c:ptCount val="1"/>
                <c:pt idx="0">
                  <c:v>5.2045813586097947E-5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F9-4E99-BAD0-B3526ED6D4E0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'Bayes-Poisson'!$E$21</c:f>
                <c:numCache>
                  <c:formatCode>General</c:formatCode>
                  <c:ptCount val="1"/>
                  <c:pt idx="0">
                    <c:v>3.4068002942687337E-13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'Bayes-Poisson'!$D$22</c:f>
              <c:numCache>
                <c:formatCode>0.00E+00</c:formatCode>
                <c:ptCount val="1"/>
                <c:pt idx="0">
                  <c:v>3.4068002943527205E-13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F9-4E99-BAD0-B3526ED6D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318280"/>
        <c:axId val="256318672"/>
      </c:barChart>
      <c:catAx>
        <c:axId val="256318280"/>
        <c:scaling>
          <c:orientation val="minMax"/>
        </c:scaling>
        <c:delete val="1"/>
        <c:axPos val="l"/>
        <c:majorTickMark val="out"/>
        <c:minorTickMark val="none"/>
        <c:tickLblPos val="none"/>
        <c:crossAx val="256318672"/>
        <c:crosses val="autoZero"/>
        <c:auto val="1"/>
        <c:lblAlgn val="ctr"/>
        <c:lblOffset val="100"/>
        <c:noMultiLvlLbl val="0"/>
      </c:catAx>
      <c:valAx>
        <c:axId val="256318672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56318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Posterior when using the Jeffreys Prior</a:t>
            </a:r>
            <a:endParaRPr lang="en-US" sz="14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'Bayes-Poisson'!$E$25</c:f>
                <c:numCache>
                  <c:formatCode>General</c:formatCode>
                  <c:ptCount val="1"/>
                  <c:pt idx="0">
                    <c:v>2.9089005358153664E-4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'Bayes-Poisson'!$F$24</c:f>
              <c:numCache>
                <c:formatCode>0.00E+00</c:formatCode>
                <c:ptCount val="1"/>
                <c:pt idx="0">
                  <c:v>7.6051936605256681E-4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2-45B8-88D4-51E10902DBED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'Bayes-Poisson'!$F$23</c:f>
              <c:numCache>
                <c:formatCode>0.00E+00</c:formatCode>
                <c:ptCount val="1"/>
                <c:pt idx="0">
                  <c:v>5.7471264367816091E-4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2-45B8-88D4-51E10902DBED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'Bayes-Poisson'!$G$21</c:f>
                <c:numCache>
                  <c:formatCode>General</c:formatCode>
                  <c:ptCount val="1"/>
                  <c:pt idx="0">
                    <c:v>5.6091324291725298E-5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'Bayes-Poisson'!$F$22</c:f>
              <c:numCache>
                <c:formatCode>0.00E+00</c:formatCode>
                <c:ptCount val="1"/>
                <c:pt idx="0">
                  <c:v>5.8351174866449158E-5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62-45B8-88D4-51E10902D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321024"/>
        <c:axId val="256321416"/>
      </c:barChart>
      <c:catAx>
        <c:axId val="256321024"/>
        <c:scaling>
          <c:orientation val="minMax"/>
        </c:scaling>
        <c:delete val="1"/>
        <c:axPos val="l"/>
        <c:majorTickMark val="out"/>
        <c:minorTickMark val="none"/>
        <c:tickLblPos val="none"/>
        <c:crossAx val="256321416"/>
        <c:crosses val="autoZero"/>
        <c:auto val="1"/>
        <c:lblAlgn val="ctr"/>
        <c:lblOffset val="100"/>
        <c:noMultiLvlLbl val="0"/>
      </c:catAx>
      <c:valAx>
        <c:axId val="256321416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563210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600" b="1" i="0" baseline="0"/>
              <a:t>Posterior when using the CNI Prior</a:t>
            </a:r>
            <a:endParaRPr lang="en-US" sz="1400"/>
          </a:p>
        </c:rich>
      </c:tx>
      <c:overlay val="1"/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tx2">
                <a:lumMod val="60000"/>
                <a:lumOff val="40000"/>
              </a:schemeClr>
            </a:solidFill>
            <a:ln w="34925">
              <a:solidFill>
                <a:prstClr val="white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'Bayes-Poisson'!$E$25</c:f>
                <c:numCache>
                  <c:formatCode>General</c:formatCode>
                  <c:ptCount val="1"/>
                  <c:pt idx="0">
                    <c:v>2.9089005358153664E-4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38100"/>
            </c:spPr>
          </c:errBars>
          <c:val>
            <c:numRef>
              <c:f>'Bayes-Poisson'!$H$24</c:f>
              <c:numCache>
                <c:formatCode>0.00E+00</c:formatCode>
                <c:ptCount val="1"/>
                <c:pt idx="0">
                  <c:v>7.5617354110369501E-4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0-432D-865E-3A262945CB55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4925">
              <a:solidFill>
                <a:schemeClr val="bg1"/>
              </a:solidFill>
            </a:ln>
          </c:spPr>
          <c:invertIfNegative val="0"/>
          <c:val>
            <c:numRef>
              <c:f>'Bayes-Poisson'!$H$23</c:f>
              <c:numCache>
                <c:formatCode>0.00E+00</c:formatCode>
                <c:ptCount val="1"/>
                <c:pt idx="0">
                  <c:v>5.7142857142857147E-4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10-432D-865E-3A262945CB55}"/>
            </c:ext>
          </c:extLst>
        </c:ser>
        <c:ser>
          <c:idx val="0"/>
          <c:order val="2"/>
          <c:spPr>
            <a:solidFill>
              <a:schemeClr val="bg1"/>
            </a:solidFill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'Bayes-Poisson'!$I$21</c:f>
                <c:numCache>
                  <c:formatCode>General</c:formatCode>
                  <c:ptCount val="1"/>
                  <c:pt idx="0">
                    <c:v>5.5770802438629727E-5</c:v>
                  </c:pt>
                </c:numCache>
              </c:numRef>
            </c:minus>
            <c:spPr>
              <a:ln w="38100">
                <a:solidFill>
                  <a:schemeClr val="tx1"/>
                </a:solidFill>
              </a:ln>
            </c:spPr>
          </c:errBars>
          <c:val>
            <c:numRef>
              <c:f>'Bayes-Poisson'!$H$22</c:f>
              <c:numCache>
                <c:formatCode>0.00E+00</c:formatCode>
                <c:ptCount val="1"/>
                <c:pt idx="0">
                  <c:v>5.8017739581498024E-5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10-432D-865E-3A262945C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226768"/>
        <c:axId val="256227160"/>
      </c:barChart>
      <c:catAx>
        <c:axId val="256226768"/>
        <c:scaling>
          <c:orientation val="minMax"/>
        </c:scaling>
        <c:delete val="1"/>
        <c:axPos val="l"/>
        <c:majorTickMark val="out"/>
        <c:minorTickMark val="none"/>
        <c:tickLblPos val="none"/>
        <c:crossAx val="256227160"/>
        <c:crosses val="autoZero"/>
        <c:auto val="1"/>
        <c:lblAlgn val="ctr"/>
        <c:lblOffset val="100"/>
        <c:noMultiLvlLbl val="0"/>
      </c:catAx>
      <c:valAx>
        <c:axId val="256227160"/>
        <c:scaling>
          <c:orientation val="minMax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2562267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emf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image" Target="../media/image6.emf"/><Relationship Id="rId4" Type="http://schemas.openxmlformats.org/officeDocument/2006/relationships/chart" Target="../charts/chart37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image" Target="../media/image7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image" Target="../media/image1.emf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emf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25</xdr:row>
      <xdr:rowOff>66325</xdr:rowOff>
    </xdr:from>
    <xdr:to>
      <xdr:col>2</xdr:col>
      <xdr:colOff>104776</xdr:colOff>
      <xdr:row>30</xdr:row>
      <xdr:rowOff>84630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6143275"/>
          <a:ext cx="2590800" cy="970805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2</xdr:col>
      <xdr:colOff>304800</xdr:colOff>
      <xdr:row>25</xdr:row>
      <xdr:rowOff>66674</xdr:rowOff>
    </xdr:from>
    <xdr:to>
      <xdr:col>9</xdr:col>
      <xdr:colOff>409575</xdr:colOff>
      <xdr:row>36</xdr:row>
      <xdr:rowOff>76199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304800</xdr:colOff>
      <xdr:row>36</xdr:row>
      <xdr:rowOff>114300</xdr:rowOff>
    </xdr:from>
    <xdr:to>
      <xdr:col>9</xdr:col>
      <xdr:colOff>409575</xdr:colOff>
      <xdr:row>47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304800</xdr:colOff>
      <xdr:row>47</xdr:row>
      <xdr:rowOff>161925</xdr:rowOff>
    </xdr:from>
    <xdr:to>
      <xdr:col>9</xdr:col>
      <xdr:colOff>409575</xdr:colOff>
      <xdr:row>58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338667</xdr:colOff>
      <xdr:row>1</xdr:row>
      <xdr:rowOff>76201</xdr:rowOff>
    </xdr:from>
    <xdr:to>
      <xdr:col>17</xdr:col>
      <xdr:colOff>262467</xdr:colOff>
      <xdr:row>14</xdr:row>
      <xdr:rowOff>101601</xdr:rowOff>
    </xdr:to>
    <xdr:graphicFrame macro="">
      <xdr:nvGraphicFramePr>
        <xdr:cNvPr id="7" name="Normal_PD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10</xdr:col>
      <xdr:colOff>355600</xdr:colOff>
      <xdr:row>15</xdr:row>
      <xdr:rowOff>25400</xdr:rowOff>
    </xdr:from>
    <xdr:to>
      <xdr:col>17</xdr:col>
      <xdr:colOff>279400</xdr:colOff>
      <xdr:row>29</xdr:row>
      <xdr:rowOff>127000</xdr:rowOff>
    </xdr:to>
    <xdr:graphicFrame macro="">
      <xdr:nvGraphicFramePr>
        <xdr:cNvPr id="8" name="Normal_PD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10</xdr:col>
      <xdr:colOff>372534</xdr:colOff>
      <xdr:row>30</xdr:row>
      <xdr:rowOff>76201</xdr:rowOff>
    </xdr:from>
    <xdr:to>
      <xdr:col>17</xdr:col>
      <xdr:colOff>296334</xdr:colOff>
      <xdr:row>47</xdr:row>
      <xdr:rowOff>84667</xdr:rowOff>
    </xdr:to>
    <xdr:graphicFrame macro="">
      <xdr:nvGraphicFramePr>
        <xdr:cNvPr id="9" name="Normal_PD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0</xdr:rowOff>
    </xdr:from>
    <xdr:to>
      <xdr:col>4</xdr:col>
      <xdr:colOff>165160</xdr:colOff>
      <xdr:row>9</xdr:row>
      <xdr:rowOff>50320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43150" y="1771650"/>
          <a:ext cx="1412935" cy="4313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209550</xdr:colOff>
      <xdr:row>10</xdr:row>
      <xdr:rowOff>38100</xdr:rowOff>
    </xdr:from>
    <xdr:to>
      <xdr:col>7</xdr:col>
      <xdr:colOff>699135</xdr:colOff>
      <xdr:row>26</xdr:row>
      <xdr:rowOff>104775</xdr:rowOff>
    </xdr:to>
    <xdr:graphicFrame macro="">
      <xdr:nvGraphicFramePr>
        <xdr:cNvPr id="4" name="Normal_PDF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12</xdr:col>
      <xdr:colOff>222886</xdr:colOff>
      <xdr:row>26</xdr:row>
      <xdr:rowOff>104775</xdr:rowOff>
    </xdr:to>
    <xdr:graphicFrame macro="">
      <xdr:nvGraphicFramePr>
        <xdr:cNvPr id="5" name="Normal_CDF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1057275</xdr:colOff>
      <xdr:row>45</xdr:row>
      <xdr:rowOff>76199</xdr:rowOff>
    </xdr:from>
    <xdr:to>
      <xdr:col>8</xdr:col>
      <xdr:colOff>323850</xdr:colOff>
      <xdr:row>61</xdr:row>
      <xdr:rowOff>142874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27</xdr:row>
      <xdr:rowOff>104775</xdr:rowOff>
    </xdr:to>
    <xdr:graphicFrame macro="">
      <xdr:nvGraphicFramePr>
        <xdr:cNvPr id="3" name="Normal_PDF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12</xdr:col>
      <xdr:colOff>222886</xdr:colOff>
      <xdr:row>27</xdr:row>
      <xdr:rowOff>104775</xdr:rowOff>
    </xdr:to>
    <xdr:graphicFrame macro="">
      <xdr:nvGraphicFramePr>
        <xdr:cNvPr id="4" name="Normal_CDF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46</xdr:row>
      <xdr:rowOff>76199</xdr:rowOff>
    </xdr:from>
    <xdr:to>
      <xdr:col>8</xdr:col>
      <xdr:colOff>323850</xdr:colOff>
      <xdr:row>62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2</xdr:col>
      <xdr:colOff>0</xdr:colOff>
      <xdr:row>8</xdr:row>
      <xdr:rowOff>1</xdr:rowOff>
    </xdr:from>
    <xdr:to>
      <xdr:col>2</xdr:col>
      <xdr:colOff>962025</xdr:colOff>
      <xdr:row>9</xdr:row>
      <xdr:rowOff>122636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A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14475" y="2028826"/>
          <a:ext cx="962025" cy="36076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26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12</xdr:col>
      <xdr:colOff>222886</xdr:colOff>
      <xdr:row>26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45</xdr:row>
      <xdr:rowOff>76199</xdr:rowOff>
    </xdr:from>
    <xdr:to>
      <xdr:col>8</xdr:col>
      <xdr:colOff>323850</xdr:colOff>
      <xdr:row>61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26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11</xdr:col>
      <xdr:colOff>504825</xdr:colOff>
      <xdr:row>26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45</xdr:row>
      <xdr:rowOff>76199</xdr:rowOff>
    </xdr:from>
    <xdr:to>
      <xdr:col>8</xdr:col>
      <xdr:colOff>323850</xdr:colOff>
      <xdr:row>61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25</xdr:row>
      <xdr:rowOff>66325</xdr:rowOff>
    </xdr:from>
    <xdr:to>
      <xdr:col>2</xdr:col>
      <xdr:colOff>104776</xdr:colOff>
      <xdr:row>30</xdr:row>
      <xdr:rowOff>84630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6171850"/>
          <a:ext cx="2590800" cy="970805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2</xdr:col>
      <xdr:colOff>304800</xdr:colOff>
      <xdr:row>25</xdr:row>
      <xdr:rowOff>66674</xdr:rowOff>
    </xdr:from>
    <xdr:to>
      <xdr:col>9</xdr:col>
      <xdr:colOff>409575</xdr:colOff>
      <xdr:row>36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304800</xdr:colOff>
      <xdr:row>36</xdr:row>
      <xdr:rowOff>114300</xdr:rowOff>
    </xdr:from>
    <xdr:to>
      <xdr:col>9</xdr:col>
      <xdr:colOff>409575</xdr:colOff>
      <xdr:row>47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304800</xdr:colOff>
      <xdr:row>47</xdr:row>
      <xdr:rowOff>161925</xdr:rowOff>
    </xdr:from>
    <xdr:to>
      <xdr:col>9</xdr:col>
      <xdr:colOff>409575</xdr:colOff>
      <xdr:row>58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270934</xdr:colOff>
      <xdr:row>0</xdr:row>
      <xdr:rowOff>152400</xdr:rowOff>
    </xdr:from>
    <xdr:to>
      <xdr:col>17</xdr:col>
      <xdr:colOff>197274</xdr:colOff>
      <xdr:row>13</xdr:row>
      <xdr:rowOff>77047</xdr:rowOff>
    </xdr:to>
    <xdr:graphicFrame macro="">
      <xdr:nvGraphicFramePr>
        <xdr:cNvPr id="6" name="Normal_PDF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10</xdr:col>
      <xdr:colOff>287867</xdr:colOff>
      <xdr:row>13</xdr:row>
      <xdr:rowOff>185208</xdr:rowOff>
    </xdr:from>
    <xdr:to>
      <xdr:col>17</xdr:col>
      <xdr:colOff>214207</xdr:colOff>
      <xdr:row>28</xdr:row>
      <xdr:rowOff>72389</xdr:rowOff>
    </xdr:to>
    <xdr:graphicFrame macro="">
      <xdr:nvGraphicFramePr>
        <xdr:cNvPr id="7" name="Normal_PDF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10</xdr:col>
      <xdr:colOff>304801</xdr:colOff>
      <xdr:row>29</xdr:row>
      <xdr:rowOff>19685</xdr:rowOff>
    </xdr:from>
    <xdr:to>
      <xdr:col>17</xdr:col>
      <xdr:colOff>231141</xdr:colOff>
      <xdr:row>45</xdr:row>
      <xdr:rowOff>182033</xdr:rowOff>
    </xdr:to>
    <xdr:graphicFrame macro="">
      <xdr:nvGraphicFramePr>
        <xdr:cNvPr id="8" name="Normal_PDF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23</xdr:row>
      <xdr:rowOff>66325</xdr:rowOff>
    </xdr:from>
    <xdr:to>
      <xdr:col>2</xdr:col>
      <xdr:colOff>104776</xdr:colOff>
      <xdr:row>28</xdr:row>
      <xdr:rowOff>84630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6171850"/>
          <a:ext cx="2590800" cy="970805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2</xdr:col>
      <xdr:colOff>304800</xdr:colOff>
      <xdr:row>23</xdr:row>
      <xdr:rowOff>66674</xdr:rowOff>
    </xdr:from>
    <xdr:to>
      <xdr:col>9</xdr:col>
      <xdr:colOff>409575</xdr:colOff>
      <xdr:row>34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304800</xdr:colOff>
      <xdr:row>34</xdr:row>
      <xdr:rowOff>114300</xdr:rowOff>
    </xdr:from>
    <xdr:to>
      <xdr:col>9</xdr:col>
      <xdr:colOff>409575</xdr:colOff>
      <xdr:row>45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309034</xdr:colOff>
      <xdr:row>11</xdr:row>
      <xdr:rowOff>148167</xdr:rowOff>
    </xdr:from>
    <xdr:to>
      <xdr:col>19</xdr:col>
      <xdr:colOff>235374</xdr:colOff>
      <xdr:row>25</xdr:row>
      <xdr:rowOff>173356</xdr:rowOff>
    </xdr:to>
    <xdr:graphicFrame macro="">
      <xdr:nvGraphicFramePr>
        <xdr:cNvPr id="5" name="Normal_PD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12</xdr:col>
      <xdr:colOff>325967</xdr:colOff>
      <xdr:row>26</xdr:row>
      <xdr:rowOff>95250</xdr:rowOff>
    </xdr:from>
    <xdr:to>
      <xdr:col>19</xdr:col>
      <xdr:colOff>252307</xdr:colOff>
      <xdr:row>43</xdr:row>
      <xdr:rowOff>92498</xdr:rowOff>
    </xdr:to>
    <xdr:graphicFrame macro="">
      <xdr:nvGraphicFramePr>
        <xdr:cNvPr id="6" name="Normal_PDF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26</xdr:row>
      <xdr:rowOff>104775</xdr:rowOff>
    </xdr:to>
    <xdr:graphicFrame macro="">
      <xdr:nvGraphicFramePr>
        <xdr:cNvPr id="3" name="Normal_PDF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12</xdr:col>
      <xdr:colOff>222886</xdr:colOff>
      <xdr:row>26</xdr:row>
      <xdr:rowOff>104775</xdr:rowOff>
    </xdr:to>
    <xdr:graphicFrame macro="">
      <xdr:nvGraphicFramePr>
        <xdr:cNvPr id="4" name="Normal_CDF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45</xdr:row>
      <xdr:rowOff>76199</xdr:rowOff>
    </xdr:from>
    <xdr:to>
      <xdr:col>8</xdr:col>
      <xdr:colOff>323850</xdr:colOff>
      <xdr:row>61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2</xdr:col>
      <xdr:colOff>0</xdr:colOff>
      <xdr:row>8</xdr:row>
      <xdr:rowOff>114298</xdr:rowOff>
    </xdr:from>
    <xdr:to>
      <xdr:col>2</xdr:col>
      <xdr:colOff>914400</xdr:colOff>
      <xdr:row>8</xdr:row>
      <xdr:rowOff>361949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4" cstate="print"/>
        <a:srcRect l="4896" r="86666" b="-5263"/>
        <a:stretch>
          <a:fillRect/>
        </a:stretch>
      </xdr:blipFill>
      <xdr:spPr bwMode="auto">
        <a:xfrm>
          <a:off x="1514475" y="2143123"/>
          <a:ext cx="914400" cy="24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27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12</xdr:col>
      <xdr:colOff>222886</xdr:colOff>
      <xdr:row>27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1039957</xdr:colOff>
      <xdr:row>45</xdr:row>
      <xdr:rowOff>58881</xdr:rowOff>
    </xdr:from>
    <xdr:to>
      <xdr:col>8</xdr:col>
      <xdr:colOff>306532</xdr:colOff>
      <xdr:row>61</xdr:row>
      <xdr:rowOff>125556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85725</xdr:colOff>
          <xdr:row>7</xdr:row>
          <xdr:rowOff>466725</xdr:rowOff>
        </xdr:from>
        <xdr:to>
          <xdr:col>2</xdr:col>
          <xdr:colOff>971550</xdr:colOff>
          <xdr:row>10</xdr:row>
          <xdr:rowOff>19050</xdr:rowOff>
        </xdr:to>
        <xdr:sp macro="" textlink="">
          <xdr:nvSpPr>
            <xdr:cNvPr id="12289" name="Object 6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27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11</xdr:col>
      <xdr:colOff>504825</xdr:colOff>
      <xdr:row>27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46</xdr:row>
      <xdr:rowOff>76199</xdr:rowOff>
    </xdr:from>
    <xdr:to>
      <xdr:col>8</xdr:col>
      <xdr:colOff>323850</xdr:colOff>
      <xdr:row>62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26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11</xdr:col>
      <xdr:colOff>504825</xdr:colOff>
      <xdr:row>26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45</xdr:row>
      <xdr:rowOff>76199</xdr:rowOff>
    </xdr:from>
    <xdr:to>
      <xdr:col>8</xdr:col>
      <xdr:colOff>323850</xdr:colOff>
      <xdr:row>61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11</xdr:row>
      <xdr:rowOff>38100</xdr:rowOff>
    </xdr:from>
    <xdr:to>
      <xdr:col>7</xdr:col>
      <xdr:colOff>699135</xdr:colOff>
      <xdr:row>27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11</xdr:row>
      <xdr:rowOff>38100</xdr:rowOff>
    </xdr:from>
    <xdr:to>
      <xdr:col>11</xdr:col>
      <xdr:colOff>504825</xdr:colOff>
      <xdr:row>27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46</xdr:row>
      <xdr:rowOff>76199</xdr:rowOff>
    </xdr:from>
    <xdr:to>
      <xdr:col>8</xdr:col>
      <xdr:colOff>323850</xdr:colOff>
      <xdr:row>62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10</xdr:row>
      <xdr:rowOff>38100</xdr:rowOff>
    </xdr:from>
    <xdr:to>
      <xdr:col>7</xdr:col>
      <xdr:colOff>699135</xdr:colOff>
      <xdr:row>31</xdr:row>
      <xdr:rowOff>104775</xdr:rowOff>
    </xdr:to>
    <xdr:graphicFrame macro="">
      <xdr:nvGraphicFramePr>
        <xdr:cNvPr id="2" name="Normal_PDF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762001</xdr:colOff>
      <xdr:row>10</xdr:row>
      <xdr:rowOff>38100</xdr:rowOff>
    </xdr:from>
    <xdr:to>
      <xdr:col>12</xdr:col>
      <xdr:colOff>222886</xdr:colOff>
      <xdr:row>31</xdr:row>
      <xdr:rowOff>104775</xdr:rowOff>
    </xdr:to>
    <xdr:graphicFrame macro="">
      <xdr:nvGraphicFramePr>
        <xdr:cNvPr id="3" name="Normal_CDF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1057275</xdr:colOff>
      <xdr:row>56</xdr:row>
      <xdr:rowOff>76199</xdr:rowOff>
    </xdr:from>
    <xdr:to>
      <xdr:col>8</xdr:col>
      <xdr:colOff>323850</xdr:colOff>
      <xdr:row>72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3</xdr:col>
      <xdr:colOff>0</xdr:colOff>
      <xdr:row>8</xdr:row>
      <xdr:rowOff>0</xdr:rowOff>
    </xdr:from>
    <xdr:to>
      <xdr:col>4</xdr:col>
      <xdr:colOff>279400</xdr:colOff>
      <xdr:row>8</xdr:row>
      <xdr:rowOff>419100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95550" y="2028825"/>
          <a:ext cx="1574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990600</xdr:colOff>
      <xdr:row>8</xdr:row>
      <xdr:rowOff>0</xdr:rowOff>
    </xdr:from>
    <xdr:to>
      <xdr:col>2</xdr:col>
      <xdr:colOff>701607</xdr:colOff>
      <xdr:row>8</xdr:row>
      <xdr:rowOff>428625</xdr:rowOff>
    </xdr:to>
    <xdr:pic>
      <xdr:nvPicPr>
        <xdr:cNvPr id="1025" name="Picture 1" descr="\frac{1}{x\sqrt{2\pi\sigma^2}}\, e^{-\frac{\left(\ln x-\mu\right)^2}{2\sigma^2}}">
          <a:extLst>
            <a:ext uri="{FF2B5EF4-FFF2-40B4-BE49-F238E27FC236}">
              <a16:creationId xmlns:a16="http://schemas.microsoft.com/office/drawing/2014/main" id="{00000000-0008-0000-08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90600" y="2028825"/>
          <a:ext cx="1358832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Normal_distribution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Poisson_distribution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s://en.wikipedia.org/wiki/Uniform_distribution_(continuous)" TargetMode="External"/><Relationship Id="rId4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Weibull_distribution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s://en.wikipedia.org/wiki/Beta_distribution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image" Target="../media/image3.emf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Binomial_distribution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Exponential_distribution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Gamma_distribution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s://en.wikipedia.org/wiki/Generalized_extreme_value_distribution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mailto:Curtis.Lee.Smith@gmail.com" TargetMode="External"/><Relationship Id="rId1" Type="http://schemas.openxmlformats.org/officeDocument/2006/relationships/hyperlink" Target="http://en.wikipedia.org/wiki/Log-normal_distribution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zoomScaleNormal="100" workbookViewId="0">
      <selection activeCell="V12" sqref="V12"/>
    </sheetView>
  </sheetViews>
  <sheetFormatPr defaultRowHeight="15" x14ac:dyDescent="0.25"/>
  <cols>
    <col min="1" max="1" width="23.5703125" customWidth="1"/>
    <col min="2" max="2" width="15.28515625" customWidth="1"/>
    <col min="3" max="3" width="8.140625" customWidth="1"/>
    <col min="4" max="4" width="14" bestFit="1" customWidth="1"/>
    <col min="5" max="5" width="10.28515625" customWidth="1"/>
    <col min="6" max="6" width="13.85546875" customWidth="1"/>
    <col min="7" max="7" width="10.42578125" customWidth="1"/>
    <col min="8" max="8" width="13.28515625" customWidth="1"/>
  </cols>
  <sheetData>
    <row r="1" spans="1:8" s="6" customFormat="1" ht="26.25" x14ac:dyDescent="0.4">
      <c r="A1" s="7" t="s">
        <v>171</v>
      </c>
    </row>
    <row r="2" spans="1:8" s="6" customFormat="1" ht="21" x14ac:dyDescent="0.35">
      <c r="B2" s="8" t="s">
        <v>172</v>
      </c>
    </row>
    <row r="3" spans="1:8" s="6" customFormat="1" ht="21" x14ac:dyDescent="0.35">
      <c r="B3" s="8" t="s">
        <v>194</v>
      </c>
    </row>
    <row r="4" spans="1:8" s="1" customFormat="1" ht="21" x14ac:dyDescent="0.35">
      <c r="B4" s="69"/>
      <c r="C4" s="124" t="str">
        <f>Beta!A5</f>
        <v>Parameters</v>
      </c>
      <c r="D4" s="124"/>
    </row>
    <row r="5" spans="1:8" s="1" customFormat="1" ht="21" x14ac:dyDescent="0.35">
      <c r="A5" s="69" t="s">
        <v>173</v>
      </c>
      <c r="C5" s="3" t="s">
        <v>60</v>
      </c>
      <c r="D5" s="74">
        <f>Beta!C5</f>
        <v>1</v>
      </c>
      <c r="E5" s="79" t="s">
        <v>182</v>
      </c>
    </row>
    <row r="6" spans="1:8" s="1" customFormat="1" ht="18.75" x14ac:dyDescent="0.3">
      <c r="A6" s="2"/>
      <c r="B6" s="2"/>
      <c r="C6" s="3" t="s">
        <v>61</v>
      </c>
      <c r="D6" s="74">
        <f>Beta!C6</f>
        <v>8</v>
      </c>
      <c r="E6" s="79"/>
    </row>
    <row r="7" spans="1:8" s="73" customFormat="1" ht="21" x14ac:dyDescent="0.35">
      <c r="A7" s="70" t="s">
        <v>174</v>
      </c>
      <c r="B7" s="71"/>
      <c r="C7" s="71" t="s">
        <v>60</v>
      </c>
      <c r="D7" s="89">
        <v>0.5</v>
      </c>
      <c r="E7" s="80" t="s">
        <v>183</v>
      </c>
    </row>
    <row r="8" spans="1:8" s="73" customFormat="1" ht="18.75" x14ac:dyDescent="0.3">
      <c r="A8" s="72"/>
      <c r="B8" s="72"/>
      <c r="C8" s="71" t="s">
        <v>61</v>
      </c>
      <c r="D8" s="89">
        <v>0.5</v>
      </c>
      <c r="E8" s="80"/>
    </row>
    <row r="9" spans="1:8" s="1" customFormat="1" ht="19.5" thickBot="1" x14ac:dyDescent="0.35">
      <c r="A9" s="123" t="s">
        <v>175</v>
      </c>
      <c r="B9" s="74" t="s">
        <v>12</v>
      </c>
      <c r="C9" s="3" t="s">
        <v>60</v>
      </c>
      <c r="D9" s="74">
        <v>0.5</v>
      </c>
      <c r="E9" s="81" t="s">
        <v>181</v>
      </c>
    </row>
    <row r="10" spans="1:8" s="1" customFormat="1" ht="19.5" thickBot="1" x14ac:dyDescent="0.35">
      <c r="A10" s="123"/>
      <c r="B10" s="75">
        <v>0.1</v>
      </c>
      <c r="C10" s="3" t="s">
        <v>61</v>
      </c>
      <c r="D10" s="90">
        <f>D9*(1-B10)/B10</f>
        <v>4.5</v>
      </c>
    </row>
    <row r="11" spans="1:8" s="1" customFormat="1" x14ac:dyDescent="0.25"/>
    <row r="12" spans="1:8" s="6" customFormat="1" ht="15.75" thickBot="1" x14ac:dyDescent="0.3"/>
    <row r="13" spans="1:8" s="6" customFormat="1" ht="19.5" customHeight="1" thickBot="1" x14ac:dyDescent="0.4">
      <c r="A13" s="8" t="s">
        <v>195</v>
      </c>
      <c r="C13" s="5" t="s">
        <v>178</v>
      </c>
      <c r="D13" s="77">
        <v>1</v>
      </c>
      <c r="E13" s="78" t="s">
        <v>179</v>
      </c>
    </row>
    <row r="14" spans="1:8" s="6" customFormat="1" ht="19.5" thickBot="1" x14ac:dyDescent="0.35">
      <c r="C14" s="5" t="s">
        <v>177</v>
      </c>
      <c r="D14" s="77">
        <v>10</v>
      </c>
      <c r="E14" s="78" t="s">
        <v>180</v>
      </c>
    </row>
    <row r="15" spans="1:8" s="6" customFormat="1" x14ac:dyDescent="0.25"/>
    <row r="16" spans="1:8" s="1" customFormat="1" ht="18.75" x14ac:dyDescent="0.3">
      <c r="D16" s="76" t="s">
        <v>186</v>
      </c>
      <c r="F16" s="76" t="s">
        <v>187</v>
      </c>
      <c r="H16" s="76" t="s">
        <v>188</v>
      </c>
    </row>
    <row r="17" spans="1:9" s="1" customFormat="1" ht="21" x14ac:dyDescent="0.35">
      <c r="A17" s="69" t="s">
        <v>184</v>
      </c>
      <c r="C17" s="3" t="s">
        <v>60</v>
      </c>
      <c r="D17" s="2">
        <f>D5+D13</f>
        <v>2</v>
      </c>
      <c r="F17" s="2">
        <f>D7+D13</f>
        <v>1.5</v>
      </c>
      <c r="H17" s="2">
        <f>D9+D13</f>
        <v>1.5</v>
      </c>
    </row>
    <row r="18" spans="1:9" s="1" customFormat="1" ht="18.75" x14ac:dyDescent="0.3">
      <c r="C18" s="3" t="s">
        <v>61</v>
      </c>
      <c r="D18" s="2">
        <f>D6+D14-D13</f>
        <v>17</v>
      </c>
      <c r="F18" s="2">
        <f>D8+D14-D13</f>
        <v>9.5</v>
      </c>
      <c r="H18" s="2">
        <f>D10+D14-D13</f>
        <v>13.5</v>
      </c>
    </row>
    <row r="19" spans="1:9" s="1" customFormat="1" ht="18.75" x14ac:dyDescent="0.3">
      <c r="C19" s="3" t="s">
        <v>185</v>
      </c>
      <c r="D19" s="2" t="str">
        <f>"Beta("&amp;D17&amp;", "&amp;D18&amp;")"</f>
        <v>Beta(2, 17)</v>
      </c>
      <c r="E19" s="81"/>
      <c r="F19" s="74" t="str">
        <f>"Beta("&amp;F17&amp;", "&amp;F18&amp;")"</f>
        <v>Beta(1.5, 9.5)</v>
      </c>
      <c r="G19" s="81"/>
      <c r="H19" s="2" t="str">
        <f>"Beta("&amp;H17&amp;", "&amp;H18&amp;")"</f>
        <v>Beta(1.5, 13.5)</v>
      </c>
    </row>
    <row r="20" spans="1:9" s="1" customFormat="1" x14ac:dyDescent="0.25"/>
    <row r="21" spans="1:9" s="1" customFormat="1" ht="18.75" x14ac:dyDescent="0.3">
      <c r="C21" s="3" t="s">
        <v>35</v>
      </c>
      <c r="D21" s="115">
        <f>BETAINV(0.05,$D$17,$D$18)</f>
        <v>2.0110675876131672E-2</v>
      </c>
      <c r="E21" s="116">
        <f>D22-D21</f>
        <v>3.336616596471767E-2</v>
      </c>
      <c r="F21" s="115">
        <f>BETAINV(0.05,$F$17,$F$18)</f>
        <v>1.7891988055747834E-2</v>
      </c>
      <c r="G21" s="116">
        <f>F22-F21</f>
        <v>4.24351822158286E-2</v>
      </c>
      <c r="H21" s="115">
        <f>BETAINV(0.05,$H$17,$H$18)</f>
        <v>1.2716636173339485E-2</v>
      </c>
      <c r="I21" s="84">
        <f>H22-H21</f>
        <v>3.0431986480546985E-2</v>
      </c>
    </row>
    <row r="22" spans="1:9" s="1" customFormat="1" ht="18.75" x14ac:dyDescent="0.3">
      <c r="C22" s="71" t="s">
        <v>189</v>
      </c>
      <c r="D22" s="117">
        <f>BETAINV(0.25,$D$17,$D$18)</f>
        <v>5.3476841840849346E-2</v>
      </c>
      <c r="E22" s="118"/>
      <c r="F22" s="117">
        <f>BETAINV(0.25,$F$17,$F$18)</f>
        <v>6.0327170271576434E-2</v>
      </c>
      <c r="G22" s="118"/>
      <c r="H22" s="117">
        <f>BETAINV(0.25,$H$17,$H$18)</f>
        <v>4.314862265388647E-2</v>
      </c>
    </row>
    <row r="23" spans="1:9" s="1" customFormat="1" ht="21" x14ac:dyDescent="0.35">
      <c r="C23" s="87" t="s">
        <v>190</v>
      </c>
      <c r="D23" s="119">
        <f>D17/(D17+D18)</f>
        <v>0.10526315789473684</v>
      </c>
      <c r="E23" s="120"/>
      <c r="F23" s="119">
        <f>F17/(F17+F18)</f>
        <v>0.13636363636363635</v>
      </c>
      <c r="G23" s="120"/>
      <c r="H23" s="119">
        <f>H17/(H17+H18)</f>
        <v>0.1</v>
      </c>
    </row>
    <row r="24" spans="1:9" s="1" customFormat="1" ht="18.75" x14ac:dyDescent="0.3">
      <c r="C24" s="71" t="s">
        <v>191</v>
      </c>
      <c r="D24" s="117">
        <f>BETAINV(0.75,$D$17,$D$18)</f>
        <v>0.14271435285616429</v>
      </c>
      <c r="E24" s="118"/>
      <c r="F24" s="117">
        <f>BETAINV(0.75,$F$17,$F$18)</f>
        <v>0.19014066115141826</v>
      </c>
      <c r="G24" s="118"/>
      <c r="H24" s="117">
        <f>BETAINV(0.75,$H$17,$H$18)</f>
        <v>0.13883516371459537</v>
      </c>
    </row>
    <row r="25" spans="1:9" s="1" customFormat="1" ht="18.75" x14ac:dyDescent="0.3">
      <c r="C25" s="3" t="s">
        <v>37</v>
      </c>
      <c r="D25" s="115">
        <f>BETAINV(0.95,$D$17,$D$18)</f>
        <v>0.23766091507463971</v>
      </c>
      <c r="E25" s="116">
        <f>D25-D24</f>
        <v>9.4946562218475417E-2</v>
      </c>
      <c r="F25" s="115">
        <f>BETAINV(0.95,$F$17,$F$18)</f>
        <v>0.33056280326013443</v>
      </c>
      <c r="G25" s="116">
        <f>F25-F24</f>
        <v>0.14042214210871617</v>
      </c>
      <c r="H25" s="115">
        <f>BETAINV(0.95,$H$17,$H$18)</f>
        <v>0.24751374266525439</v>
      </c>
      <c r="I25" s="84">
        <f>H25-H24</f>
        <v>0.10867857895065902</v>
      </c>
    </row>
    <row r="26" spans="1:9" s="1" customFormat="1" x14ac:dyDescent="0.25"/>
    <row r="27" spans="1:9" s="1" customFormat="1" x14ac:dyDescent="0.25"/>
    <row r="28" spans="1:9" s="1" customFormat="1" x14ac:dyDescent="0.25"/>
    <row r="29" spans="1:9" s="1" customFormat="1" x14ac:dyDescent="0.25"/>
    <row r="30" spans="1:9" s="1" customFormat="1" x14ac:dyDescent="0.25"/>
    <row r="31" spans="1:9" s="1" customFormat="1" x14ac:dyDescent="0.25"/>
    <row r="32" spans="1:9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</sheetData>
  <sheetProtection sheet="1" objects="1" scenarios="1"/>
  <mergeCells count="2">
    <mergeCell ref="A9:A10"/>
    <mergeCell ref="C4:D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2"/>
  <sheetViews>
    <sheetView zoomScale="90" zoomScaleNormal="90" workbookViewId="0">
      <selection activeCell="M35" sqref="M35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8.7109375" customWidth="1"/>
    <col min="6" max="6" width="16.85546875" bestFit="1" customWidth="1"/>
    <col min="7" max="7" width="27" customWidth="1"/>
    <col min="8" max="8" width="24.140625" bestFit="1" customWidth="1"/>
    <col min="9" max="9" width="16.85546875" customWidth="1"/>
    <col min="10" max="10" width="11.85546875" bestFit="1" customWidth="1"/>
  </cols>
  <sheetData>
    <row r="1" spans="1:10" s="7" customFormat="1" ht="26.25" x14ac:dyDescent="0.4">
      <c r="A1" s="7" t="s">
        <v>0</v>
      </c>
      <c r="G1" s="39" t="s">
        <v>55</v>
      </c>
    </row>
    <row r="2" spans="1:10" s="7" customFormat="1" ht="11.25" customHeight="1" x14ac:dyDescent="0.4"/>
    <row r="3" spans="1:10" s="7" customFormat="1" ht="19.5" customHeight="1" x14ac:dyDescent="0.4">
      <c r="C3" s="8" t="s">
        <v>19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6</v>
      </c>
      <c r="C5" s="57">
        <v>0</v>
      </c>
      <c r="E5" s="3" t="s">
        <v>56</v>
      </c>
      <c r="F5" s="3" t="s">
        <v>52</v>
      </c>
      <c r="G5" s="45">
        <f>C5</f>
        <v>0</v>
      </c>
      <c r="H5" s="3" t="s">
        <v>107</v>
      </c>
      <c r="I5" s="3" t="s">
        <v>6</v>
      </c>
      <c r="J5" s="45">
        <f>C5</f>
        <v>0</v>
      </c>
    </row>
    <row r="6" spans="1:10" s="1" customFormat="1" ht="19.5" thickBot="1" x14ac:dyDescent="0.35">
      <c r="A6" s="2"/>
      <c r="B6" s="3" t="s">
        <v>8</v>
      </c>
      <c r="C6" s="57">
        <v>1</v>
      </c>
      <c r="F6" s="3" t="s">
        <v>82</v>
      </c>
      <c r="G6" s="45">
        <f>C6</f>
        <v>1</v>
      </c>
      <c r="H6" s="63" t="s">
        <v>111</v>
      </c>
      <c r="I6" s="3" t="s">
        <v>109</v>
      </c>
      <c r="J6" s="45">
        <f>1/(C6^2)</f>
        <v>1</v>
      </c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30" x14ac:dyDescent="0.3">
      <c r="A9" s="4"/>
      <c r="B9" s="5"/>
      <c r="C9" s="12" t="s">
        <v>17</v>
      </c>
      <c r="D9" s="11"/>
      <c r="E9" s="13" t="s">
        <v>2</v>
      </c>
      <c r="F9" s="14" t="s">
        <v>7</v>
      </c>
      <c r="G9" s="15" t="s">
        <v>3</v>
      </c>
      <c r="H9" s="16" t="s">
        <v>5</v>
      </c>
      <c r="I9" s="16" t="s">
        <v>4</v>
      </c>
    </row>
    <row r="10" spans="1:10" s="6" customFormat="1" ht="10.5" customHeight="1" x14ac:dyDescent="0.25"/>
    <row r="11" spans="1:10" s="19" customFormat="1" ht="19.5" thickBot="1" x14ac:dyDescent="0.35">
      <c r="A11" s="2" t="s">
        <v>18</v>
      </c>
    </row>
    <row r="12" spans="1:10" s="1" customFormat="1" ht="19.5" thickBot="1" x14ac:dyDescent="0.35">
      <c r="C12" s="3" t="s">
        <v>20</v>
      </c>
      <c r="D12" s="57">
        <v>-1</v>
      </c>
    </row>
    <row r="13" spans="1:10" s="1" customFormat="1" ht="19.5" thickBot="1" x14ac:dyDescent="0.35">
      <c r="C13" s="3" t="s">
        <v>21</v>
      </c>
      <c r="D13" s="57">
        <v>1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X ≤ " &amp; D13 &amp;") ="</f>
        <v>Pr(-1 ≤ X ≤ 1) =</v>
      </c>
      <c r="D15" s="46">
        <f>NORMDIST($D$13,$C$5,$C$6,TRUE)-NORMDIST($D$12,$C$5,$C$6,TRUE)</f>
        <v>0.68268949213708607</v>
      </c>
    </row>
    <row r="16" spans="1:10" s="1" customFormat="1" ht="15.75" x14ac:dyDescent="0.25">
      <c r="C16" s="20" t="str">
        <f>"Pr(X ≤ "&amp;D12&amp;") ="</f>
        <v>Pr(X ≤ -1) =</v>
      </c>
      <c r="D16" s="46">
        <f>NORMDIST($D$12,$C$5,$C$6,TRUE)</f>
        <v>0.15865525393145699</v>
      </c>
    </row>
    <row r="17" spans="1:7" s="1" customFormat="1" ht="15.75" x14ac:dyDescent="0.25">
      <c r="C17" s="20" t="str">
        <f>"Pr(X ≤ " &amp; D13 &amp; ") ="</f>
        <v>Pr(X ≤ 1) =</v>
      </c>
      <c r="D17" s="46">
        <f>NORMDIST($D$13,$C$5,$C$6,TRUE)</f>
        <v>0.84134474606854304</v>
      </c>
    </row>
    <row r="18" spans="1:7" s="1" customFormat="1" ht="15.75" x14ac:dyDescent="0.25">
      <c r="C18" s="20" t="str">
        <f>"Pr(X &gt; " &amp; D13 &amp;") ="</f>
        <v>Pr(X &gt; 1) =</v>
      </c>
      <c r="D18" s="46">
        <f>1-NORMDIST($D$13,$C$5,$C$6,TRUE)</f>
        <v>0.15865525393145696</v>
      </c>
    </row>
    <row r="19" spans="1:7" s="1" customFormat="1" ht="15.75" x14ac:dyDescent="0.25">
      <c r="C19" s="20"/>
      <c r="D19" s="24"/>
    </row>
    <row r="20" spans="1:7" s="1" customFormat="1" ht="15.75" x14ac:dyDescent="0.25">
      <c r="C20" s="20" t="s">
        <v>52</v>
      </c>
      <c r="D20" s="46">
        <f>C5</f>
        <v>0</v>
      </c>
    </row>
    <row r="21" spans="1:7" s="1" customFormat="1" ht="15.75" x14ac:dyDescent="0.25">
      <c r="C21" s="20" t="s">
        <v>38</v>
      </c>
      <c r="D21" s="46">
        <f>C6</f>
        <v>1</v>
      </c>
    </row>
    <row r="22" spans="1:7" s="1" customFormat="1" ht="15.75" x14ac:dyDescent="0.25">
      <c r="C22" s="20" t="s">
        <v>34</v>
      </c>
      <c r="D22" s="46">
        <f>C6^2</f>
        <v>1</v>
      </c>
    </row>
    <row r="23" spans="1:7" s="1" customFormat="1" ht="15.75" x14ac:dyDescent="0.25">
      <c r="C23" s="20"/>
      <c r="D23" s="21"/>
    </row>
    <row r="24" spans="1:7" s="1" customFormat="1" ht="15.75" x14ac:dyDescent="0.25">
      <c r="C24" s="20" t="s">
        <v>35</v>
      </c>
      <c r="D24" s="46">
        <f>NORMINV(0.05, $C$5, $C$6)</f>
        <v>-1.6448536269514726</v>
      </c>
    </row>
    <row r="25" spans="1:7" s="1" customFormat="1" ht="15.75" x14ac:dyDescent="0.25">
      <c r="C25" s="20" t="s">
        <v>36</v>
      </c>
      <c r="D25" s="46">
        <f>NORMINV(0.5, $C$5, $C$6)</f>
        <v>0</v>
      </c>
    </row>
    <row r="26" spans="1:7" s="1" customFormat="1" ht="15.75" x14ac:dyDescent="0.25">
      <c r="C26" s="20" t="s">
        <v>37</v>
      </c>
      <c r="D26" s="46">
        <f>NORMINV(0.95, $C$5, $C$6)</f>
        <v>1.6448536269514715</v>
      </c>
    </row>
    <row r="27" spans="1:7" s="1" customFormat="1" x14ac:dyDescent="0.25"/>
    <row r="28" spans="1:7" s="6" customFormat="1" ht="18.75" x14ac:dyDescent="0.3">
      <c r="A28" s="4" t="s">
        <v>40</v>
      </c>
    </row>
    <row r="29" spans="1:7" s="6" customFormat="1" ht="18.75" x14ac:dyDescent="0.3">
      <c r="A29" s="4"/>
    </row>
    <row r="30" spans="1:7" s="6" customFormat="1" ht="18.75" x14ac:dyDescent="0.3">
      <c r="A30" s="4"/>
      <c r="C30" s="30" t="s">
        <v>44</v>
      </c>
      <c r="D30" s="32">
        <f ca="1">AVERAGE(D33:D132)</f>
        <v>-2.3751513343739986E-2</v>
      </c>
      <c r="F30" s="30" t="s">
        <v>45</v>
      </c>
      <c r="G30" s="32">
        <f ca="1">STDEV(D33:D132)</f>
        <v>0.98922706937561466</v>
      </c>
    </row>
    <row r="31" spans="1:7" s="6" customFormat="1" ht="18.75" x14ac:dyDescent="0.3">
      <c r="A31" s="4"/>
    </row>
    <row r="32" spans="1:7" s="6" customFormat="1" ht="15.75" x14ac:dyDescent="0.25">
      <c r="B32" s="31" t="s">
        <v>41</v>
      </c>
      <c r="C32" s="31" t="s">
        <v>42</v>
      </c>
      <c r="D32" s="31" t="s">
        <v>43</v>
      </c>
      <c r="E32" s="33"/>
      <c r="F32" s="34" t="s">
        <v>46</v>
      </c>
    </row>
    <row r="33" spans="2:7" s="6" customFormat="1" x14ac:dyDescent="0.25">
      <c r="B33" s="6">
        <v>1</v>
      </c>
      <c r="C33" s="28">
        <f ca="1">RAND()</f>
        <v>4.4775684193249621E-2</v>
      </c>
      <c r="D33" s="29">
        <f ca="1">NORMINV(C33,$C$5,$C$6)</f>
        <v>-1.6977690030152339</v>
      </c>
      <c r="F33" s="9">
        <f ca="1">IF(D33&gt;$D$13,0,1)</f>
        <v>1</v>
      </c>
    </row>
    <row r="34" spans="2:7" s="6" customFormat="1" x14ac:dyDescent="0.25">
      <c r="B34" s="6">
        <v>2</v>
      </c>
      <c r="C34" s="28">
        <f ca="1">RAND()</f>
        <v>7.2982155509672575E-2</v>
      </c>
      <c r="D34" s="29">
        <f ca="1">NORMINV(C34,$C$5,$C$6)</f>
        <v>-1.4539350614160449</v>
      </c>
      <c r="F34" s="9">
        <f t="shared" ref="F34:F97" ca="1" si="0">IF(D34&gt;$D$13,0,1)</f>
        <v>1</v>
      </c>
      <c r="G34" s="36" t="s">
        <v>47</v>
      </c>
    </row>
    <row r="35" spans="2:7" s="6" customFormat="1" x14ac:dyDescent="0.25">
      <c r="B35" s="6">
        <v>3</v>
      </c>
      <c r="C35" s="28">
        <f t="shared" ref="C35:C98" ca="1" si="1">RAND()</f>
        <v>0.19174143599094096</v>
      </c>
      <c r="D35" s="29">
        <f t="shared" ref="D35:D98" ca="1" si="2">NORMINV(C35,$C$5,$C$6)</f>
        <v>-0.87149694725344817</v>
      </c>
      <c r="F35" s="9">
        <f t="shared" ca="1" si="0"/>
        <v>1</v>
      </c>
      <c r="G35" s="47">
        <f ca="1">SUM(F33:F132)/100</f>
        <v>0.9</v>
      </c>
    </row>
    <row r="36" spans="2:7" s="6" customFormat="1" x14ac:dyDescent="0.25">
      <c r="B36" s="6">
        <v>4</v>
      </c>
      <c r="C36" s="28">
        <f t="shared" ca="1" si="1"/>
        <v>0.38022563308030188</v>
      </c>
      <c r="D36" s="29">
        <f t="shared" ca="1" si="2"/>
        <v>-0.3048882486316547</v>
      </c>
      <c r="F36" s="9">
        <f t="shared" ca="1" si="0"/>
        <v>1</v>
      </c>
    </row>
    <row r="37" spans="2:7" s="6" customFormat="1" x14ac:dyDescent="0.25">
      <c r="B37" s="6">
        <v>5</v>
      </c>
      <c r="C37" s="28">
        <f t="shared" ca="1" si="1"/>
        <v>0.74146621481774122</v>
      </c>
      <c r="D37" s="29">
        <f t="shared" ca="1" si="2"/>
        <v>0.64787226538788667</v>
      </c>
      <c r="F37" s="9">
        <f t="shared" ca="1" si="0"/>
        <v>1</v>
      </c>
      <c r="G37" s="36" t="s">
        <v>49</v>
      </c>
    </row>
    <row r="38" spans="2:7" s="6" customFormat="1" x14ac:dyDescent="0.25">
      <c r="B38" s="6">
        <v>6</v>
      </c>
      <c r="C38" s="28">
        <f t="shared" ca="1" si="1"/>
        <v>0.77024818367303116</v>
      </c>
      <c r="D38" s="29">
        <f t="shared" ca="1" si="2"/>
        <v>0.7396644359958312</v>
      </c>
      <c r="F38" s="9">
        <f t="shared" ca="1" si="0"/>
        <v>1</v>
      </c>
      <c r="G38" s="47">
        <f ca="1">PERCENTILE($D$33:$D$132, 0.05)</f>
        <v>-1.4583641568505803</v>
      </c>
    </row>
    <row r="39" spans="2:7" s="6" customFormat="1" x14ac:dyDescent="0.25">
      <c r="B39" s="6">
        <v>7</v>
      </c>
      <c r="C39" s="28">
        <f t="shared" ca="1" si="1"/>
        <v>0.51687044433655627</v>
      </c>
      <c r="D39" s="29">
        <f t="shared" ca="1" si="2"/>
        <v>4.2300544375984822E-2</v>
      </c>
      <c r="F39" s="9">
        <f t="shared" ca="1" si="0"/>
        <v>1</v>
      </c>
    </row>
    <row r="40" spans="2:7" s="6" customFormat="1" x14ac:dyDescent="0.25">
      <c r="B40" s="6">
        <v>8</v>
      </c>
      <c r="C40" s="28">
        <f t="shared" ca="1" si="1"/>
        <v>0.43519265759844339</v>
      </c>
      <c r="D40" s="29">
        <f t="shared" ca="1" si="2"/>
        <v>-0.16316907402947128</v>
      </c>
      <c r="F40" s="9">
        <f t="shared" ca="1" si="0"/>
        <v>1</v>
      </c>
      <c r="G40" s="36" t="s">
        <v>50</v>
      </c>
    </row>
    <row r="41" spans="2:7" s="6" customFormat="1" x14ac:dyDescent="0.25">
      <c r="B41" s="6">
        <v>9</v>
      </c>
      <c r="C41" s="28">
        <f t="shared" ca="1" si="1"/>
        <v>0.4024686058464445</v>
      </c>
      <c r="D41" s="29">
        <f t="shared" ca="1" si="2"/>
        <v>-0.24696254425743644</v>
      </c>
      <c r="F41" s="9">
        <f t="shared" ca="1" si="0"/>
        <v>1</v>
      </c>
      <c r="G41" s="47">
        <f ca="1">PERCENTILE($D$33:$D$132, 0.5)</f>
        <v>4.2478470349397696E-2</v>
      </c>
    </row>
    <row r="42" spans="2:7" s="6" customFormat="1" x14ac:dyDescent="0.25">
      <c r="B42" s="6">
        <v>10</v>
      </c>
      <c r="C42" s="28">
        <f t="shared" ca="1" si="1"/>
        <v>0.83786372112795859</v>
      </c>
      <c r="D42" s="29">
        <f t="shared" ca="1" si="2"/>
        <v>0.98571587373605185</v>
      </c>
      <c r="F42" s="9">
        <f t="shared" ca="1" si="0"/>
        <v>1</v>
      </c>
    </row>
    <row r="43" spans="2:7" s="6" customFormat="1" x14ac:dyDescent="0.25">
      <c r="B43" s="6">
        <v>11</v>
      </c>
      <c r="C43" s="28">
        <f t="shared" ca="1" si="1"/>
        <v>0.43061828860234141</v>
      </c>
      <c r="D43" s="29">
        <f t="shared" ca="1" si="2"/>
        <v>-0.17480026868955889</v>
      </c>
      <c r="F43" s="9">
        <f t="shared" ca="1" si="0"/>
        <v>1</v>
      </c>
      <c r="G43" s="36" t="s">
        <v>51</v>
      </c>
    </row>
    <row r="44" spans="2:7" s="6" customFormat="1" x14ac:dyDescent="0.25">
      <c r="B44" s="6">
        <v>12</v>
      </c>
      <c r="C44" s="28">
        <f t="shared" ca="1" si="1"/>
        <v>0.31529501579095753</v>
      </c>
      <c r="D44" s="29">
        <f t="shared" ca="1" si="2"/>
        <v>-0.48089654059128822</v>
      </c>
      <c r="F44" s="9">
        <f t="shared" ca="1" si="0"/>
        <v>1</v>
      </c>
      <c r="G44" s="47">
        <f ca="1">PERCENTILE($D$33:$D$132, 0.95)</f>
        <v>1.373054680744247</v>
      </c>
    </row>
    <row r="45" spans="2:7" s="6" customFormat="1" x14ac:dyDescent="0.25">
      <c r="B45" s="6">
        <v>13</v>
      </c>
      <c r="C45" s="28">
        <f t="shared" ca="1" si="1"/>
        <v>0.77220420732228745</v>
      </c>
      <c r="D45" s="29">
        <f t="shared" ca="1" si="2"/>
        <v>0.74612553517316682</v>
      </c>
      <c r="F45" s="9">
        <f t="shared" ca="1" si="0"/>
        <v>1</v>
      </c>
    </row>
    <row r="46" spans="2:7" s="6" customFormat="1" x14ac:dyDescent="0.25">
      <c r="B46" s="6">
        <v>14</v>
      </c>
      <c r="C46" s="28">
        <f t="shared" ca="1" si="1"/>
        <v>0.7603277315118091</v>
      </c>
      <c r="D46" s="29">
        <f t="shared" ca="1" si="2"/>
        <v>0.70735718464535691</v>
      </c>
      <c r="F46" s="9">
        <f t="shared" ca="1" si="0"/>
        <v>1</v>
      </c>
    </row>
    <row r="47" spans="2:7" s="6" customFormat="1" x14ac:dyDescent="0.25">
      <c r="B47" s="6">
        <v>15</v>
      </c>
      <c r="C47" s="28">
        <f t="shared" ca="1" si="1"/>
        <v>0.16102836888288974</v>
      </c>
      <c r="D47" s="29">
        <f t="shared" ca="1" si="2"/>
        <v>-0.99024017972162914</v>
      </c>
      <c r="F47" s="9">
        <f t="shared" ca="1" si="0"/>
        <v>1</v>
      </c>
    </row>
    <row r="48" spans="2:7" s="6" customFormat="1" x14ac:dyDescent="0.25">
      <c r="B48" s="6">
        <v>16</v>
      </c>
      <c r="C48" s="28">
        <f t="shared" ca="1" si="1"/>
        <v>0.65450517671509523</v>
      </c>
      <c r="D48" s="29">
        <f t="shared" ca="1" si="2"/>
        <v>0.39751239699950403</v>
      </c>
      <c r="F48" s="9">
        <f t="shared" ca="1" si="0"/>
        <v>1</v>
      </c>
    </row>
    <row r="49" spans="2:8" s="6" customFormat="1" x14ac:dyDescent="0.25">
      <c r="B49" s="6">
        <v>17</v>
      </c>
      <c r="C49" s="28">
        <f t="shared" ca="1" si="1"/>
        <v>0.32883448400308635</v>
      </c>
      <c r="D49" s="29">
        <f t="shared" ca="1" si="2"/>
        <v>-0.44313378692398753</v>
      </c>
      <c r="F49" s="9">
        <f t="shared" ca="1" si="0"/>
        <v>1</v>
      </c>
    </row>
    <row r="50" spans="2:8" s="6" customFormat="1" x14ac:dyDescent="0.25">
      <c r="B50" s="6">
        <v>18</v>
      </c>
      <c r="C50" s="28">
        <f t="shared" ca="1" si="1"/>
        <v>0.1078209532887543</v>
      </c>
      <c r="D50" s="29">
        <f t="shared" ca="1" si="2"/>
        <v>-1.238200013434396</v>
      </c>
      <c r="F50" s="9">
        <f t="shared" ca="1" si="0"/>
        <v>1</v>
      </c>
    </row>
    <row r="51" spans="2:8" s="6" customFormat="1" x14ac:dyDescent="0.25">
      <c r="B51" s="6">
        <v>19</v>
      </c>
      <c r="C51" s="28">
        <f t="shared" ca="1" si="1"/>
        <v>0.7468475355937606</v>
      </c>
      <c r="D51" s="29">
        <f t="shared" ca="1" si="2"/>
        <v>0.66460225148904828</v>
      </c>
      <c r="F51" s="9">
        <f t="shared" ca="1" si="0"/>
        <v>1</v>
      </c>
      <c r="H51" s="41" t="s">
        <v>105</v>
      </c>
    </row>
    <row r="52" spans="2:8" s="6" customFormat="1" x14ac:dyDescent="0.25">
      <c r="B52" s="6">
        <v>20</v>
      </c>
      <c r="C52" s="28">
        <f t="shared" ca="1" si="1"/>
        <v>0.33770108504934815</v>
      </c>
      <c r="D52" s="29">
        <f t="shared" ca="1" si="2"/>
        <v>-0.41874545742011854</v>
      </c>
      <c r="F52" s="9">
        <f t="shared" ca="1" si="0"/>
        <v>1</v>
      </c>
    </row>
    <row r="53" spans="2:8" s="6" customFormat="1" x14ac:dyDescent="0.25">
      <c r="B53" s="6">
        <v>21</v>
      </c>
      <c r="C53" s="28">
        <f t="shared" ca="1" si="1"/>
        <v>0.75359525915532899</v>
      </c>
      <c r="D53" s="29">
        <f t="shared" ca="1" si="2"/>
        <v>0.68584717920282723</v>
      </c>
      <c r="F53" s="9">
        <f t="shared" ca="1" si="0"/>
        <v>1</v>
      </c>
    </row>
    <row r="54" spans="2:8" s="6" customFormat="1" x14ac:dyDescent="0.25">
      <c r="B54" s="6">
        <v>22</v>
      </c>
      <c r="C54" s="28">
        <f t="shared" ca="1" si="1"/>
        <v>0.34106076367017069</v>
      </c>
      <c r="D54" s="29">
        <f t="shared" ca="1" si="2"/>
        <v>-0.40956983675897307</v>
      </c>
      <c r="F54" s="9">
        <f t="shared" ca="1" si="0"/>
        <v>1</v>
      </c>
    </row>
    <row r="55" spans="2:8" s="6" customFormat="1" x14ac:dyDescent="0.25">
      <c r="B55" s="6">
        <v>23</v>
      </c>
      <c r="C55" s="28">
        <f t="shared" ca="1" si="1"/>
        <v>0.80996908870259376</v>
      </c>
      <c r="D55" s="29">
        <f t="shared" ca="1" si="2"/>
        <v>0.87778239045553808</v>
      </c>
      <c r="F55" s="9">
        <f t="shared" ca="1" si="0"/>
        <v>1</v>
      </c>
    </row>
    <row r="56" spans="2:8" s="6" customFormat="1" x14ac:dyDescent="0.25">
      <c r="B56" s="6">
        <v>24</v>
      </c>
      <c r="C56" s="28">
        <f t="shared" ca="1" si="1"/>
        <v>0.45678222489044773</v>
      </c>
      <c r="D56" s="29">
        <f t="shared" ca="1" si="2"/>
        <v>-0.10854365952251428</v>
      </c>
      <c r="F56" s="9">
        <f t="shared" ca="1" si="0"/>
        <v>1</v>
      </c>
    </row>
    <row r="57" spans="2:8" s="6" customFormat="1" x14ac:dyDescent="0.25">
      <c r="B57" s="6">
        <v>25</v>
      </c>
      <c r="C57" s="28">
        <f t="shared" ca="1" si="1"/>
        <v>0.70052149498383665</v>
      </c>
      <c r="D57" s="29">
        <f t="shared" ca="1" si="2"/>
        <v>0.52590097706312866</v>
      </c>
      <c r="F57" s="9">
        <f t="shared" ca="1" si="0"/>
        <v>1</v>
      </c>
    </row>
    <row r="58" spans="2:8" s="6" customFormat="1" x14ac:dyDescent="0.25">
      <c r="B58" s="6">
        <v>26</v>
      </c>
      <c r="C58" s="28">
        <f t="shared" ca="1" si="1"/>
        <v>9.330051397047312E-2</v>
      </c>
      <c r="D58" s="29">
        <f t="shared" ca="1" si="2"/>
        <v>-1.3207011576388752</v>
      </c>
      <c r="F58" s="9">
        <f t="shared" ca="1" si="0"/>
        <v>1</v>
      </c>
    </row>
    <row r="59" spans="2:8" s="6" customFormat="1" x14ac:dyDescent="0.25">
      <c r="B59" s="6">
        <v>27</v>
      </c>
      <c r="C59" s="28">
        <f t="shared" ca="1" si="1"/>
        <v>0.78501911272916569</v>
      </c>
      <c r="D59" s="29">
        <f t="shared" ca="1" si="2"/>
        <v>0.78925706628776882</v>
      </c>
      <c r="F59" s="9">
        <f t="shared" ca="1" si="0"/>
        <v>1</v>
      </c>
    </row>
    <row r="60" spans="2:8" s="6" customFormat="1" x14ac:dyDescent="0.25">
      <c r="B60" s="6">
        <v>28</v>
      </c>
      <c r="C60" s="28">
        <f t="shared" ca="1" si="1"/>
        <v>0.1773452541634466</v>
      </c>
      <c r="D60" s="29">
        <f t="shared" ca="1" si="2"/>
        <v>-0.92552957256820012</v>
      </c>
      <c r="F60" s="9">
        <f t="shared" ca="1" si="0"/>
        <v>1</v>
      </c>
    </row>
    <row r="61" spans="2:8" s="6" customFormat="1" x14ac:dyDescent="0.25">
      <c r="B61" s="6">
        <v>29</v>
      </c>
      <c r="C61" s="28">
        <f t="shared" ca="1" si="1"/>
        <v>0.23490646557852513</v>
      </c>
      <c r="D61" s="29">
        <f t="shared" ca="1" si="2"/>
        <v>-0.72278345904727925</v>
      </c>
      <c r="F61" s="9">
        <f t="shared" ca="1" si="0"/>
        <v>1</v>
      </c>
    </row>
    <row r="62" spans="2:8" s="6" customFormat="1" x14ac:dyDescent="0.25">
      <c r="B62" s="6">
        <v>30</v>
      </c>
      <c r="C62" s="28">
        <f t="shared" ca="1" si="1"/>
        <v>0.86073566669096957</v>
      </c>
      <c r="D62" s="29">
        <f t="shared" ca="1" si="2"/>
        <v>1.0836304895711626</v>
      </c>
      <c r="F62" s="9">
        <f t="shared" ca="1" si="0"/>
        <v>0</v>
      </c>
    </row>
    <row r="63" spans="2:8" s="6" customFormat="1" x14ac:dyDescent="0.25">
      <c r="B63" s="6">
        <v>31</v>
      </c>
      <c r="C63" s="28">
        <f t="shared" ca="1" si="1"/>
        <v>0.18918851986745744</v>
      </c>
      <c r="D63" s="29">
        <f t="shared" ca="1" si="2"/>
        <v>-0.88089059258483648</v>
      </c>
      <c r="F63" s="9">
        <f t="shared" ca="1" si="0"/>
        <v>1</v>
      </c>
    </row>
    <row r="64" spans="2:8" s="6" customFormat="1" x14ac:dyDescent="0.25">
      <c r="B64" s="6">
        <v>32</v>
      </c>
      <c r="C64" s="28">
        <f t="shared" ca="1" si="1"/>
        <v>0.81666163235399347</v>
      </c>
      <c r="D64" s="29">
        <f t="shared" ca="1" si="2"/>
        <v>0.9027158251862285</v>
      </c>
      <c r="F64" s="9">
        <f t="shared" ca="1" si="0"/>
        <v>1</v>
      </c>
    </row>
    <row r="65" spans="2:6" s="6" customFormat="1" x14ac:dyDescent="0.25">
      <c r="B65" s="6">
        <v>33</v>
      </c>
      <c r="C65" s="28">
        <f t="shared" ca="1" si="1"/>
        <v>0.52436807776226502</v>
      </c>
      <c r="D65" s="29">
        <f t="shared" ca="1" si="2"/>
        <v>6.111974479328558E-2</v>
      </c>
      <c r="F65" s="9">
        <f t="shared" ca="1" si="0"/>
        <v>1</v>
      </c>
    </row>
    <row r="66" spans="2:6" s="6" customFormat="1" x14ac:dyDescent="0.25">
      <c r="B66" s="6">
        <v>34</v>
      </c>
      <c r="C66" s="28">
        <f t="shared" ca="1" si="1"/>
        <v>0.49139155052841832</v>
      </c>
      <c r="D66" s="29">
        <f t="shared" ca="1" si="2"/>
        <v>-2.1579857650779348E-2</v>
      </c>
      <c r="F66" s="9">
        <f t="shared" ca="1" si="0"/>
        <v>1</v>
      </c>
    </row>
    <row r="67" spans="2:6" s="6" customFormat="1" x14ac:dyDescent="0.25">
      <c r="B67" s="6">
        <v>35</v>
      </c>
      <c r="C67" s="28">
        <f t="shared" ca="1" si="1"/>
        <v>0.99680210091950883</v>
      </c>
      <c r="D67" s="29">
        <f t="shared" ca="1" si="2"/>
        <v>2.7267680460276709</v>
      </c>
      <c r="F67" s="9">
        <f t="shared" ca="1" si="0"/>
        <v>0</v>
      </c>
    </row>
    <row r="68" spans="2:6" s="6" customFormat="1" x14ac:dyDescent="0.25">
      <c r="B68" s="6">
        <v>36</v>
      </c>
      <c r="C68" s="28">
        <f t="shared" ca="1" si="1"/>
        <v>0.25787868744944809</v>
      </c>
      <c r="D68" s="29">
        <f t="shared" ca="1" si="2"/>
        <v>-0.64989913819306844</v>
      </c>
      <c r="F68" s="9">
        <f t="shared" ca="1" si="0"/>
        <v>1</v>
      </c>
    </row>
    <row r="69" spans="2:6" s="6" customFormat="1" x14ac:dyDescent="0.25">
      <c r="B69" s="6">
        <v>37</v>
      </c>
      <c r="C69" s="28">
        <f t="shared" ca="1" si="1"/>
        <v>0.54418906420663449</v>
      </c>
      <c r="D69" s="29">
        <f t="shared" ca="1" si="2"/>
        <v>0.11099303283586108</v>
      </c>
      <c r="F69" s="9">
        <f t="shared" ca="1" si="0"/>
        <v>1</v>
      </c>
    </row>
    <row r="70" spans="2:6" s="6" customFormat="1" x14ac:dyDescent="0.25">
      <c r="B70" s="6">
        <v>38</v>
      </c>
      <c r="C70" s="28">
        <f t="shared" ca="1" si="1"/>
        <v>0.13671203353820105</v>
      </c>
      <c r="D70" s="29">
        <f t="shared" ca="1" si="2"/>
        <v>-1.0952113209880316</v>
      </c>
      <c r="F70" s="9">
        <f t="shared" ca="1" si="0"/>
        <v>1</v>
      </c>
    </row>
    <row r="71" spans="2:6" s="6" customFormat="1" x14ac:dyDescent="0.25">
      <c r="B71" s="6">
        <v>39</v>
      </c>
      <c r="C71" s="28">
        <f t="shared" ca="1" si="1"/>
        <v>0.58500957555885646</v>
      </c>
      <c r="D71" s="29">
        <f t="shared" ca="1" si="2"/>
        <v>0.21472613007341901</v>
      </c>
      <c r="F71" s="9">
        <f t="shared" ca="1" si="0"/>
        <v>1</v>
      </c>
    </row>
    <row r="72" spans="2:6" s="6" customFormat="1" x14ac:dyDescent="0.25">
      <c r="B72" s="6">
        <v>40</v>
      </c>
      <c r="C72" s="28">
        <f t="shared" ca="1" si="1"/>
        <v>0.25698923022721809</v>
      </c>
      <c r="D72" s="29">
        <f t="shared" ca="1" si="2"/>
        <v>-0.65265540150970158</v>
      </c>
      <c r="F72" s="9">
        <f t="shared" ca="1" si="0"/>
        <v>1</v>
      </c>
    </row>
    <row r="73" spans="2:6" s="6" customFormat="1" x14ac:dyDescent="0.25">
      <c r="B73" s="6">
        <v>41</v>
      </c>
      <c r="C73" s="28">
        <f t="shared" ca="1" si="1"/>
        <v>0.80893643870181897</v>
      </c>
      <c r="D73" s="29">
        <f t="shared" ca="1" si="2"/>
        <v>0.87398371459389668</v>
      </c>
      <c r="F73" s="9">
        <f t="shared" ca="1" si="0"/>
        <v>1</v>
      </c>
    </row>
    <row r="74" spans="2:6" s="6" customFormat="1" x14ac:dyDescent="0.25">
      <c r="B74" s="6">
        <v>42</v>
      </c>
      <c r="C74" s="28">
        <f t="shared" ca="1" si="1"/>
        <v>0.35549909783708022</v>
      </c>
      <c r="D74" s="29">
        <f t="shared" ca="1" si="2"/>
        <v>-0.37051581418376967</v>
      </c>
      <c r="F74" s="9">
        <f t="shared" ca="1" si="0"/>
        <v>1</v>
      </c>
    </row>
    <row r="75" spans="2:6" s="6" customFormat="1" x14ac:dyDescent="0.25">
      <c r="B75" s="6">
        <v>43</v>
      </c>
      <c r="C75" s="28">
        <f t="shared" ca="1" si="1"/>
        <v>0.72862951469940018</v>
      </c>
      <c r="D75" s="29">
        <f t="shared" ca="1" si="2"/>
        <v>0.60867335649489518</v>
      </c>
      <c r="F75" s="9">
        <f t="shared" ca="1" si="0"/>
        <v>1</v>
      </c>
    </row>
    <row r="76" spans="2:6" s="6" customFormat="1" x14ac:dyDescent="0.25">
      <c r="B76" s="6">
        <v>44</v>
      </c>
      <c r="C76" s="28">
        <f t="shared" ca="1" si="1"/>
        <v>0.18279466999117178</v>
      </c>
      <c r="D76" s="29">
        <f t="shared" ca="1" si="2"/>
        <v>-0.90476605202312044</v>
      </c>
      <c r="F76" s="9">
        <f t="shared" ca="1" si="0"/>
        <v>1</v>
      </c>
    </row>
    <row r="77" spans="2:6" s="6" customFormat="1" x14ac:dyDescent="0.25">
      <c r="B77" s="6">
        <v>45</v>
      </c>
      <c r="C77" s="28">
        <f t="shared" ca="1" si="1"/>
        <v>0.13952352548721914</v>
      </c>
      <c r="D77" s="29">
        <f t="shared" ca="1" si="2"/>
        <v>-1.0824625421007834</v>
      </c>
      <c r="F77" s="9">
        <f t="shared" ca="1" si="0"/>
        <v>1</v>
      </c>
    </row>
    <row r="78" spans="2:6" s="6" customFormat="1" x14ac:dyDescent="0.25">
      <c r="B78" s="6">
        <v>46</v>
      </c>
      <c r="C78" s="28">
        <f t="shared" ca="1" si="1"/>
        <v>0.53616250474727845</v>
      </c>
      <c r="D78" s="29">
        <f t="shared" ca="1" si="2"/>
        <v>9.0770450092518953E-2</v>
      </c>
      <c r="F78" s="9">
        <f t="shared" ca="1" si="0"/>
        <v>1</v>
      </c>
    </row>
    <row r="79" spans="2:6" s="6" customFormat="1" x14ac:dyDescent="0.25">
      <c r="B79" s="6">
        <v>47</v>
      </c>
      <c r="C79" s="28">
        <f t="shared" ca="1" si="1"/>
        <v>0.3815577826245945</v>
      </c>
      <c r="D79" s="29">
        <f t="shared" ca="1" si="2"/>
        <v>-0.30139203765071237</v>
      </c>
      <c r="F79" s="9">
        <f t="shared" ca="1" si="0"/>
        <v>1</v>
      </c>
    </row>
    <row r="80" spans="2:6" s="6" customFormat="1" x14ac:dyDescent="0.25">
      <c r="B80" s="6">
        <v>48</v>
      </c>
      <c r="C80" s="28">
        <f t="shared" ca="1" si="1"/>
        <v>0.52021957872353475</v>
      </c>
      <c r="D80" s="29">
        <f t="shared" ca="1" si="2"/>
        <v>5.0704686017065702E-2</v>
      </c>
      <c r="F80" s="9">
        <f t="shared" ca="1" si="0"/>
        <v>1</v>
      </c>
    </row>
    <row r="81" spans="2:6" s="6" customFormat="1" x14ac:dyDescent="0.25">
      <c r="B81" s="6">
        <v>49</v>
      </c>
      <c r="C81" s="28">
        <f t="shared" ca="1" si="1"/>
        <v>6.1474008675494241E-2</v>
      </c>
      <c r="D81" s="29">
        <f t="shared" ca="1" si="2"/>
        <v>-1.5425169701067536</v>
      </c>
      <c r="F81" s="9">
        <f t="shared" ca="1" si="0"/>
        <v>1</v>
      </c>
    </row>
    <row r="82" spans="2:6" s="6" customFormat="1" x14ac:dyDescent="0.25">
      <c r="B82" s="6">
        <v>50</v>
      </c>
      <c r="C82" s="28">
        <f t="shared" ca="1" si="1"/>
        <v>0.35740515285413377</v>
      </c>
      <c r="D82" s="29">
        <f t="shared" ca="1" si="2"/>
        <v>-0.36540339721449516</v>
      </c>
      <c r="F82" s="9">
        <f t="shared" ca="1" si="0"/>
        <v>1</v>
      </c>
    </row>
    <row r="83" spans="2:6" s="6" customFormat="1" x14ac:dyDescent="0.25">
      <c r="B83" s="6">
        <v>51</v>
      </c>
      <c r="C83" s="28">
        <f t="shared" ca="1" si="1"/>
        <v>0.5632599417412919</v>
      </c>
      <c r="D83" s="29">
        <f t="shared" ca="1" si="2"/>
        <v>0.15923958614655023</v>
      </c>
      <c r="F83" s="9">
        <f t="shared" ca="1" si="0"/>
        <v>1</v>
      </c>
    </row>
    <row r="84" spans="2:6" s="6" customFormat="1" x14ac:dyDescent="0.25">
      <c r="B84" s="6">
        <v>52</v>
      </c>
      <c r="C84" s="28">
        <f t="shared" ca="1" si="1"/>
        <v>0.51701228069900096</v>
      </c>
      <c r="D84" s="29">
        <f t="shared" ca="1" si="2"/>
        <v>4.2656396322810576E-2</v>
      </c>
      <c r="F84" s="9">
        <f t="shared" ca="1" si="0"/>
        <v>1</v>
      </c>
    </row>
    <row r="85" spans="2:6" s="6" customFormat="1" x14ac:dyDescent="0.25">
      <c r="B85" s="6">
        <v>53</v>
      </c>
      <c r="C85" s="28">
        <f t="shared" ca="1" si="1"/>
        <v>0.82139488750652934</v>
      </c>
      <c r="D85" s="29">
        <f t="shared" ca="1" si="2"/>
        <v>0.92069397058324975</v>
      </c>
      <c r="F85" s="9">
        <f t="shared" ca="1" si="0"/>
        <v>1</v>
      </c>
    </row>
    <row r="86" spans="2:6" s="6" customFormat="1" x14ac:dyDescent="0.25">
      <c r="B86" s="6">
        <v>54</v>
      </c>
      <c r="C86" s="28">
        <f t="shared" ca="1" si="1"/>
        <v>0.50967157798487372</v>
      </c>
      <c r="D86" s="29">
        <f t="shared" ca="1" si="2"/>
        <v>2.424542603571302E-2</v>
      </c>
      <c r="F86" s="9">
        <f t="shared" ca="1" si="0"/>
        <v>1</v>
      </c>
    </row>
    <row r="87" spans="2:6" s="6" customFormat="1" x14ac:dyDescent="0.25">
      <c r="B87" s="6">
        <v>55</v>
      </c>
      <c r="C87" s="28">
        <f t="shared" ca="1" si="1"/>
        <v>0.50535445882215357</v>
      </c>
      <c r="D87" s="29">
        <f t="shared" ca="1" si="2"/>
        <v>1.3422040867486723E-2</v>
      </c>
      <c r="F87" s="9">
        <f t="shared" ca="1" si="0"/>
        <v>1</v>
      </c>
    </row>
    <row r="88" spans="2:6" s="6" customFormat="1" x14ac:dyDescent="0.25">
      <c r="B88" s="6">
        <v>56</v>
      </c>
      <c r="C88" s="28">
        <f t="shared" ca="1" si="1"/>
        <v>0.72497444316259974</v>
      </c>
      <c r="D88" s="29">
        <f t="shared" ca="1" si="2"/>
        <v>0.59768353507772387</v>
      </c>
      <c r="F88" s="9">
        <f t="shared" ca="1" si="0"/>
        <v>1</v>
      </c>
    </row>
    <row r="89" spans="2:6" s="6" customFormat="1" x14ac:dyDescent="0.25">
      <c r="B89" s="6">
        <v>57</v>
      </c>
      <c r="C89" s="28">
        <f t="shared" ca="1" si="1"/>
        <v>8.4681002734089295E-2</v>
      </c>
      <c r="D89" s="29">
        <f t="shared" ca="1" si="2"/>
        <v>-1.374256694351405</v>
      </c>
      <c r="F89" s="9">
        <f t="shared" ca="1" si="0"/>
        <v>1</v>
      </c>
    </row>
    <row r="90" spans="2:6" s="6" customFormat="1" x14ac:dyDescent="0.25">
      <c r="B90" s="6">
        <v>58</v>
      </c>
      <c r="C90" s="28">
        <f t="shared" ca="1" si="1"/>
        <v>7.9022846473484454E-2</v>
      </c>
      <c r="D90" s="29">
        <f t="shared" ca="1" si="2"/>
        <v>-1.4116749483682682</v>
      </c>
      <c r="F90" s="9">
        <f t="shared" ca="1" si="0"/>
        <v>1</v>
      </c>
    </row>
    <row r="91" spans="2:6" s="6" customFormat="1" x14ac:dyDescent="0.25">
      <c r="B91" s="6">
        <v>59</v>
      </c>
      <c r="C91" s="28">
        <f t="shared" ca="1" si="1"/>
        <v>0.13513061005997906</v>
      </c>
      <c r="D91" s="29">
        <f t="shared" ca="1" si="2"/>
        <v>-1.102461194460022</v>
      </c>
      <c r="F91" s="9">
        <f t="shared" ca="1" si="0"/>
        <v>1</v>
      </c>
    </row>
    <row r="92" spans="2:6" s="6" customFormat="1" x14ac:dyDescent="0.25">
      <c r="B92" s="6">
        <v>60</v>
      </c>
      <c r="C92" s="28">
        <f t="shared" ca="1" si="1"/>
        <v>0.52443910871448196</v>
      </c>
      <c r="D92" s="29">
        <f t="shared" ca="1" si="2"/>
        <v>6.129812683110334E-2</v>
      </c>
      <c r="F92" s="9">
        <f t="shared" ca="1" si="0"/>
        <v>1</v>
      </c>
    </row>
    <row r="93" spans="2:6" s="6" customFormat="1" x14ac:dyDescent="0.25">
      <c r="B93" s="6">
        <v>61</v>
      </c>
      <c r="C93" s="28">
        <f t="shared" ca="1" si="1"/>
        <v>0.48419095812852853</v>
      </c>
      <c r="D93" s="29">
        <f t="shared" ca="1" si="2"/>
        <v>-3.9637768401848156E-2</v>
      </c>
      <c r="F93" s="9">
        <f t="shared" ca="1" si="0"/>
        <v>1</v>
      </c>
    </row>
    <row r="94" spans="2:6" s="6" customFormat="1" x14ac:dyDescent="0.25">
      <c r="B94" s="6">
        <v>62</v>
      </c>
      <c r="C94" s="28">
        <f t="shared" ca="1" si="1"/>
        <v>0.69869516344927018</v>
      </c>
      <c r="D94" s="29">
        <f t="shared" ca="1" si="2"/>
        <v>0.52065134670137181</v>
      </c>
      <c r="F94" s="9">
        <f t="shared" ca="1" si="0"/>
        <v>1</v>
      </c>
    </row>
    <row r="95" spans="2:6" s="6" customFormat="1" x14ac:dyDescent="0.25">
      <c r="B95" s="6">
        <v>63</v>
      </c>
      <c r="C95" s="28">
        <f t="shared" ca="1" si="1"/>
        <v>0.54976221115261026</v>
      </c>
      <c r="D95" s="29">
        <f t="shared" ca="1" si="2"/>
        <v>0.12506059658831475</v>
      </c>
      <c r="F95" s="9">
        <f t="shared" ca="1" si="0"/>
        <v>1</v>
      </c>
    </row>
    <row r="96" spans="2:6" s="6" customFormat="1" x14ac:dyDescent="0.25">
      <c r="B96" s="6">
        <v>64</v>
      </c>
      <c r="C96" s="28">
        <f t="shared" ca="1" si="1"/>
        <v>0.76800300738566418</v>
      </c>
      <c r="D96" s="29">
        <f t="shared" ca="1" si="2"/>
        <v>0.73228606118739248</v>
      </c>
      <c r="F96" s="9">
        <f t="shared" ca="1" si="0"/>
        <v>1</v>
      </c>
    </row>
    <row r="97" spans="2:6" s="6" customFormat="1" x14ac:dyDescent="0.25">
      <c r="B97" s="6">
        <v>65</v>
      </c>
      <c r="C97" s="28">
        <f t="shared" ca="1" si="1"/>
        <v>0.47430875841960585</v>
      </c>
      <c r="D97" s="29">
        <f t="shared" ca="1" si="2"/>
        <v>-6.4442968944694923E-2</v>
      </c>
      <c r="F97" s="9">
        <f t="shared" ca="1" si="0"/>
        <v>1</v>
      </c>
    </row>
    <row r="98" spans="2:6" s="6" customFormat="1" x14ac:dyDescent="0.25">
      <c r="B98" s="6">
        <v>66</v>
      </c>
      <c r="C98" s="28">
        <f t="shared" ca="1" si="1"/>
        <v>0.81958496031396511</v>
      </c>
      <c r="D98" s="29">
        <f t="shared" ca="1" si="2"/>
        <v>0.91378452509327712</v>
      </c>
      <c r="F98" s="9">
        <f t="shared" ref="F98:F132" ca="1" si="3">IF(D98&gt;$D$13,0,1)</f>
        <v>1</v>
      </c>
    </row>
    <row r="99" spans="2:6" s="6" customFormat="1" x14ac:dyDescent="0.25">
      <c r="B99" s="6">
        <v>67</v>
      </c>
      <c r="C99" s="28">
        <f t="shared" ref="C99:C132" ca="1" si="4">RAND()</f>
        <v>0.18276893372126879</v>
      </c>
      <c r="D99" s="29">
        <f t="shared" ref="D99:D132" ca="1" si="5">NORMINV(C99,$C$5,$C$6)</f>
        <v>-0.90486319506608792</v>
      </c>
      <c r="F99" s="9">
        <f t="shared" ca="1" si="3"/>
        <v>1</v>
      </c>
    </row>
    <row r="100" spans="2:6" s="6" customFormat="1" x14ac:dyDescent="0.25">
      <c r="B100" s="6">
        <v>68</v>
      </c>
      <c r="C100" s="28">
        <f t="shared" ca="1" si="4"/>
        <v>0.98618412167309322</v>
      </c>
      <c r="D100" s="29">
        <f t="shared" ca="1" si="5"/>
        <v>2.2024752341082583</v>
      </c>
      <c r="F100" s="9">
        <f t="shared" ca="1" si="3"/>
        <v>0</v>
      </c>
    </row>
    <row r="101" spans="2:6" s="6" customFormat="1" x14ac:dyDescent="0.25">
      <c r="B101" s="6">
        <v>69</v>
      </c>
      <c r="C101" s="28">
        <f t="shared" ca="1" si="4"/>
        <v>0.22622225423066999</v>
      </c>
      <c r="D101" s="29">
        <f t="shared" ca="1" si="5"/>
        <v>-0.75134590628299835</v>
      </c>
      <c r="F101" s="9">
        <f t="shared" ca="1" si="3"/>
        <v>1</v>
      </c>
    </row>
    <row r="102" spans="2:6" s="6" customFormat="1" x14ac:dyDescent="0.25">
      <c r="B102" s="6">
        <v>70</v>
      </c>
      <c r="C102" s="28">
        <f t="shared" ca="1" si="4"/>
        <v>0.73108428710108753</v>
      </c>
      <c r="D102" s="29">
        <f t="shared" ca="1" si="5"/>
        <v>0.61609560015338938</v>
      </c>
      <c r="F102" s="9">
        <f t="shared" ca="1" si="3"/>
        <v>1</v>
      </c>
    </row>
    <row r="103" spans="2:6" s="6" customFormat="1" x14ac:dyDescent="0.25">
      <c r="B103" s="6">
        <v>71</v>
      </c>
      <c r="C103" s="28">
        <f t="shared" ca="1" si="4"/>
        <v>0.59729520885714349</v>
      </c>
      <c r="D103" s="29">
        <f t="shared" ca="1" si="5"/>
        <v>0.24635222930935921</v>
      </c>
      <c r="F103" s="9">
        <f t="shared" ca="1" si="3"/>
        <v>1</v>
      </c>
    </row>
    <row r="104" spans="2:6" s="6" customFormat="1" x14ac:dyDescent="0.25">
      <c r="B104" s="6">
        <v>72</v>
      </c>
      <c r="C104" s="28">
        <f t="shared" ca="1" si="4"/>
        <v>0.51810193837405527</v>
      </c>
      <c r="D104" s="29">
        <f t="shared" ca="1" si="5"/>
        <v>4.5390411969914987E-2</v>
      </c>
      <c r="F104" s="9">
        <f t="shared" ca="1" si="3"/>
        <v>1</v>
      </c>
    </row>
    <row r="105" spans="2:6" s="6" customFormat="1" x14ac:dyDescent="0.25">
      <c r="B105" s="6">
        <v>73</v>
      </c>
      <c r="C105" s="28">
        <f t="shared" ca="1" si="4"/>
        <v>0.66490557183976429</v>
      </c>
      <c r="D105" s="29">
        <f t="shared" ca="1" si="5"/>
        <v>0.42588882760364744</v>
      </c>
      <c r="F105" s="9">
        <f t="shared" ca="1" si="3"/>
        <v>1</v>
      </c>
    </row>
    <row r="106" spans="2:6" s="6" customFormat="1" x14ac:dyDescent="0.25">
      <c r="B106" s="6">
        <v>74</v>
      </c>
      <c r="C106" s="28">
        <f t="shared" ca="1" si="4"/>
        <v>0.84817428516839233</v>
      </c>
      <c r="D106" s="29">
        <f t="shared" ca="1" si="5"/>
        <v>1.0286345637945027</v>
      </c>
      <c r="F106" s="9">
        <f t="shared" ca="1" si="3"/>
        <v>0</v>
      </c>
    </row>
    <row r="107" spans="2:6" s="6" customFormat="1" x14ac:dyDescent="0.25">
      <c r="B107" s="6">
        <v>75</v>
      </c>
      <c r="C107" s="28">
        <f t="shared" ca="1" si="4"/>
        <v>0.77020644027750296</v>
      </c>
      <c r="D107" s="29">
        <f t="shared" ca="1" si="5"/>
        <v>0.73952688693594559</v>
      </c>
      <c r="F107" s="9">
        <f t="shared" ca="1" si="3"/>
        <v>1</v>
      </c>
    </row>
    <row r="108" spans="2:6" s="6" customFormat="1" x14ac:dyDescent="0.25">
      <c r="B108" s="6">
        <v>76</v>
      </c>
      <c r="C108" s="28">
        <f t="shared" ca="1" si="4"/>
        <v>0.62998417087439096</v>
      </c>
      <c r="D108" s="29">
        <f t="shared" ca="1" si="5"/>
        <v>0.3318114229365573</v>
      </c>
      <c r="F108" s="9">
        <f t="shared" ca="1" si="3"/>
        <v>1</v>
      </c>
    </row>
    <row r="109" spans="2:6" s="6" customFormat="1" x14ac:dyDescent="0.25">
      <c r="B109" s="6">
        <v>77</v>
      </c>
      <c r="C109" s="28">
        <f t="shared" ca="1" si="4"/>
        <v>0.94838442056241667</v>
      </c>
      <c r="D109" s="29">
        <f t="shared" ca="1" si="5"/>
        <v>1.6293868118143933</v>
      </c>
      <c r="F109" s="9">
        <f t="shared" ca="1" si="3"/>
        <v>0</v>
      </c>
    </row>
    <row r="110" spans="2:6" s="6" customFormat="1" x14ac:dyDescent="0.25">
      <c r="B110" s="6">
        <v>78</v>
      </c>
      <c r="C110" s="28">
        <f t="shared" ca="1" si="4"/>
        <v>0.22035587610173679</v>
      </c>
      <c r="D110" s="29">
        <f t="shared" ca="1" si="5"/>
        <v>-0.77099186716807433</v>
      </c>
      <c r="F110" s="9">
        <f t="shared" ca="1" si="3"/>
        <v>1</v>
      </c>
    </row>
    <row r="111" spans="2:6" s="6" customFormat="1" x14ac:dyDescent="0.25">
      <c r="B111" s="6">
        <v>79</v>
      </c>
      <c r="C111" s="28">
        <f t="shared" ca="1" si="4"/>
        <v>0.24765959076331112</v>
      </c>
      <c r="D111" s="29">
        <f t="shared" ca="1" si="5"/>
        <v>-0.68187312328309857</v>
      </c>
      <c r="F111" s="9">
        <f t="shared" ca="1" si="3"/>
        <v>1</v>
      </c>
    </row>
    <row r="112" spans="2:6" s="6" customFormat="1" x14ac:dyDescent="0.25">
      <c r="B112" s="6">
        <v>80</v>
      </c>
      <c r="C112" s="28">
        <f t="shared" ca="1" si="4"/>
        <v>6.5331607206819964E-3</v>
      </c>
      <c r="D112" s="29">
        <f t="shared" ca="1" si="5"/>
        <v>-2.4819565292933947</v>
      </c>
      <c r="F112" s="9">
        <f t="shared" ca="1" si="3"/>
        <v>1</v>
      </c>
    </row>
    <row r="113" spans="2:6" s="6" customFormat="1" x14ac:dyDescent="0.25">
      <c r="B113" s="6">
        <v>81</v>
      </c>
      <c r="C113" s="28">
        <f t="shared" ca="1" si="4"/>
        <v>0.66612000319983733</v>
      </c>
      <c r="D113" s="29">
        <f t="shared" ca="1" si="5"/>
        <v>0.42922430952313495</v>
      </c>
      <c r="F113" s="9">
        <f t="shared" ca="1" si="3"/>
        <v>1</v>
      </c>
    </row>
    <row r="114" spans="2:6" s="6" customFormat="1" x14ac:dyDescent="0.25">
      <c r="B114" s="6">
        <v>82</v>
      </c>
      <c r="C114" s="28">
        <f t="shared" ca="1" si="4"/>
        <v>0.54754942436262588</v>
      </c>
      <c r="D114" s="29">
        <f t="shared" ca="1" si="5"/>
        <v>0.11947234159997323</v>
      </c>
      <c r="F114" s="9">
        <f t="shared" ca="1" si="3"/>
        <v>1</v>
      </c>
    </row>
    <row r="115" spans="2:6" s="6" customFormat="1" x14ac:dyDescent="0.25">
      <c r="B115" s="6">
        <v>83</v>
      </c>
      <c r="C115" s="28">
        <f t="shared" ca="1" si="4"/>
        <v>0.22804260739658344</v>
      </c>
      <c r="D115" s="29">
        <f t="shared" ca="1" si="5"/>
        <v>-0.74530854797312796</v>
      </c>
      <c r="F115" s="9">
        <f t="shared" ca="1" si="3"/>
        <v>1</v>
      </c>
    </row>
    <row r="116" spans="2:6" s="6" customFormat="1" x14ac:dyDescent="0.25">
      <c r="B116" s="6">
        <v>84</v>
      </c>
      <c r="C116" s="28">
        <f t="shared" ca="1" si="4"/>
        <v>0.23382774973760767</v>
      </c>
      <c r="D116" s="29">
        <f t="shared" ca="1" si="5"/>
        <v>-0.72629898824375927</v>
      </c>
      <c r="F116" s="9">
        <f t="shared" ca="1" si="3"/>
        <v>1</v>
      </c>
    </row>
    <row r="117" spans="2:6" s="6" customFormat="1" x14ac:dyDescent="0.25">
      <c r="B117" s="6">
        <v>85</v>
      </c>
      <c r="C117" s="28">
        <f t="shared" ca="1" si="4"/>
        <v>1.0775574597180149E-2</v>
      </c>
      <c r="D117" s="29">
        <f t="shared" ca="1" si="5"/>
        <v>-2.2981869838741935</v>
      </c>
      <c r="F117" s="9">
        <f t="shared" ca="1" si="3"/>
        <v>1</v>
      </c>
    </row>
    <row r="118" spans="2:6" s="6" customFormat="1" x14ac:dyDescent="0.25">
      <c r="B118" s="6">
        <v>86</v>
      </c>
      <c r="C118" s="28">
        <f t="shared" ca="1" si="4"/>
        <v>0.75710710219731203</v>
      </c>
      <c r="D118" s="29">
        <f t="shared" ca="1" si="5"/>
        <v>0.69702716183867919</v>
      </c>
      <c r="F118" s="9">
        <f t="shared" ca="1" si="3"/>
        <v>1</v>
      </c>
    </row>
    <row r="119" spans="2:6" s="6" customFormat="1" x14ac:dyDescent="0.25">
      <c r="B119" s="6">
        <v>87</v>
      </c>
      <c r="C119" s="28">
        <f t="shared" ca="1" si="4"/>
        <v>0.89506940459397399</v>
      </c>
      <c r="D119" s="29">
        <f t="shared" ca="1" si="5"/>
        <v>1.2539472182908802</v>
      </c>
      <c r="F119" s="9">
        <f t="shared" ca="1" si="3"/>
        <v>0</v>
      </c>
    </row>
    <row r="120" spans="2:6" s="6" customFormat="1" x14ac:dyDescent="0.25">
      <c r="B120" s="6">
        <v>88</v>
      </c>
      <c r="C120" s="28">
        <f t="shared" ca="1" si="4"/>
        <v>0.91475827601902626</v>
      </c>
      <c r="D120" s="29">
        <f t="shared" ca="1" si="5"/>
        <v>1.3706520533728856</v>
      </c>
      <c r="F120" s="9">
        <f t="shared" ca="1" si="3"/>
        <v>0</v>
      </c>
    </row>
    <row r="121" spans="2:6" s="6" customFormat="1" x14ac:dyDescent="0.25">
      <c r="B121" s="6">
        <v>89</v>
      </c>
      <c r="C121" s="28">
        <f t="shared" ca="1" si="4"/>
        <v>0.73178919759126015</v>
      </c>
      <c r="D121" s="29">
        <f t="shared" ca="1" si="5"/>
        <v>0.61823323533314378</v>
      </c>
      <c r="F121" s="9">
        <f t="shared" ca="1" si="3"/>
        <v>1</v>
      </c>
    </row>
    <row r="122" spans="2:6" s="6" customFormat="1" x14ac:dyDescent="0.25">
      <c r="B122" s="6">
        <v>90</v>
      </c>
      <c r="C122" s="28">
        <f t="shared" ca="1" si="4"/>
        <v>0.11306757281724922</v>
      </c>
      <c r="D122" s="29">
        <f t="shared" ca="1" si="5"/>
        <v>-1.2103746995983367</v>
      </c>
      <c r="F122" s="9">
        <f t="shared" ca="1" si="3"/>
        <v>1</v>
      </c>
    </row>
    <row r="123" spans="2:6" s="6" customFormat="1" x14ac:dyDescent="0.25">
      <c r="B123" s="6">
        <v>91</v>
      </c>
      <c r="C123" s="28">
        <f t="shared" ca="1" si="4"/>
        <v>0.78603325275158564</v>
      </c>
      <c r="D123" s="29">
        <f t="shared" ca="1" si="5"/>
        <v>0.79273283689935514</v>
      </c>
      <c r="F123" s="9">
        <f t="shared" ca="1" si="3"/>
        <v>1</v>
      </c>
    </row>
    <row r="124" spans="2:6" s="6" customFormat="1" x14ac:dyDescent="0.25">
      <c r="B124" s="6">
        <v>92</v>
      </c>
      <c r="C124" s="28">
        <f t="shared" ca="1" si="4"/>
        <v>0.35408525430303284</v>
      </c>
      <c r="D124" s="29">
        <f t="shared" ca="1" si="5"/>
        <v>-0.37431428071660255</v>
      </c>
      <c r="F124" s="9">
        <f t="shared" ca="1" si="3"/>
        <v>1</v>
      </c>
    </row>
    <row r="125" spans="2:6" s="6" customFormat="1" x14ac:dyDescent="0.25">
      <c r="B125" s="6">
        <v>93</v>
      </c>
      <c r="C125" s="28">
        <f t="shared" ca="1" si="4"/>
        <v>0.98837746765933265</v>
      </c>
      <c r="D125" s="29">
        <f t="shared" ca="1" si="5"/>
        <v>2.2693826773503072</v>
      </c>
      <c r="F125" s="9">
        <f t="shared" ca="1" si="3"/>
        <v>0</v>
      </c>
    </row>
    <row r="126" spans="2:6" s="6" customFormat="1" x14ac:dyDescent="0.25">
      <c r="B126" s="6">
        <v>94</v>
      </c>
      <c r="C126" s="28">
        <f t="shared" ca="1" si="4"/>
        <v>0.67714175467376514</v>
      </c>
      <c r="D126" s="29">
        <f t="shared" ca="1" si="5"/>
        <v>0.45972100484669282</v>
      </c>
      <c r="F126" s="9">
        <f t="shared" ca="1" si="3"/>
        <v>1</v>
      </c>
    </row>
    <row r="127" spans="2:6" s="6" customFormat="1" x14ac:dyDescent="0.25">
      <c r="B127" s="6">
        <v>95</v>
      </c>
      <c r="C127" s="28">
        <f t="shared" ca="1" si="4"/>
        <v>3.2247466637369548E-4</v>
      </c>
      <c r="D127" s="29">
        <f t="shared" ca="1" si="5"/>
        <v>-3.4119711731105986</v>
      </c>
      <c r="F127" s="9">
        <f t="shared" ca="1" si="3"/>
        <v>1</v>
      </c>
    </row>
    <row r="128" spans="2:6" s="6" customFormat="1" x14ac:dyDescent="0.25">
      <c r="B128" s="6">
        <v>96</v>
      </c>
      <c r="C128" s="28">
        <f t="shared" ca="1" si="4"/>
        <v>0.92200742233399358</v>
      </c>
      <c r="D128" s="29">
        <f t="shared" ca="1" si="5"/>
        <v>1.4187046008001158</v>
      </c>
      <c r="F128" s="9">
        <f t="shared" ca="1" si="3"/>
        <v>0</v>
      </c>
    </row>
    <row r="129" spans="2:6" s="6" customFormat="1" x14ac:dyDescent="0.25">
      <c r="B129" s="6">
        <v>97</v>
      </c>
      <c r="C129" s="28">
        <f t="shared" ca="1" si="4"/>
        <v>0.90180098570894185</v>
      </c>
      <c r="D129" s="29">
        <f t="shared" ca="1" si="5"/>
        <v>1.2918819526680971</v>
      </c>
      <c r="F129" s="9">
        <f t="shared" ca="1" si="3"/>
        <v>0</v>
      </c>
    </row>
    <row r="130" spans="2:6" s="6" customFormat="1" x14ac:dyDescent="0.25">
      <c r="B130" s="6">
        <v>98</v>
      </c>
      <c r="C130" s="28">
        <f t="shared" ca="1" si="4"/>
        <v>0.30336695832141758</v>
      </c>
      <c r="D130" s="29">
        <f t="shared" ca="1" si="5"/>
        <v>-0.51474114630480028</v>
      </c>
      <c r="F130" s="9">
        <f t="shared" ca="1" si="3"/>
        <v>1</v>
      </c>
    </row>
    <row r="131" spans="2:6" s="6" customFormat="1" x14ac:dyDescent="0.25">
      <c r="B131" s="6">
        <v>99</v>
      </c>
      <c r="C131" s="28">
        <f t="shared" ca="1" si="4"/>
        <v>0.5128748511608141</v>
      </c>
      <c r="D131" s="29">
        <f t="shared" ca="1" si="5"/>
        <v>3.2278070021458924E-2</v>
      </c>
      <c r="F131" s="9">
        <f t="shared" ca="1" si="3"/>
        <v>1</v>
      </c>
    </row>
    <row r="132" spans="2:6" s="6" customFormat="1" x14ac:dyDescent="0.25">
      <c r="B132" s="6">
        <v>100</v>
      </c>
      <c r="C132" s="28">
        <f t="shared" ca="1" si="4"/>
        <v>0.36856438193567753</v>
      </c>
      <c r="D132" s="29">
        <f t="shared" ca="1" si="5"/>
        <v>-0.33565802291030994</v>
      </c>
      <c r="F132" s="9">
        <f t="shared" ca="1" si="3"/>
        <v>1</v>
      </c>
    </row>
  </sheetData>
  <sheetProtection sheet="1" objects="1" scenarios="1"/>
  <hyperlinks>
    <hyperlink ref="G1" r:id="rId1" xr:uid="{00000000-0004-0000-0900-000000000000}"/>
    <hyperlink ref="H51" r:id="rId2" xr:uid="{00000000-0004-0000-0900-000001000000}"/>
  </hyperlinks>
  <pageMargins left="0.7" right="0.7" top="0.75" bottom="0.75" header="0.3" footer="0.3"/>
  <pageSetup orientation="portrait" verticalDpi="0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33"/>
  <sheetViews>
    <sheetView zoomScale="90" zoomScaleNormal="90" workbookViewId="0">
      <selection activeCell="W1" sqref="W1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5.140625" customWidth="1"/>
    <col min="5" max="5" width="15.7109375" customWidth="1"/>
    <col min="6" max="6" width="18.85546875" customWidth="1"/>
    <col min="7" max="7" width="27" customWidth="1"/>
    <col min="8" max="8" width="24.140625" bestFit="1" customWidth="1"/>
    <col min="9" max="9" width="16.85546875" customWidth="1"/>
    <col min="10" max="10" width="11.85546875" bestFit="1" customWidth="1"/>
  </cols>
  <sheetData>
    <row r="1" spans="1:10" s="7" customFormat="1" ht="26.25" x14ac:dyDescent="0.4">
      <c r="A1" s="7" t="s">
        <v>112</v>
      </c>
      <c r="G1" s="41" t="s">
        <v>113</v>
      </c>
    </row>
    <row r="2" spans="1:10" s="7" customFormat="1" ht="11.25" customHeight="1" x14ac:dyDescent="0.4"/>
    <row r="3" spans="1:10" s="7" customFormat="1" ht="19.5" customHeight="1" x14ac:dyDescent="0.4">
      <c r="C3" s="8" t="s">
        <v>114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115</v>
      </c>
      <c r="C5" s="57">
        <v>0.2</v>
      </c>
      <c r="D5" s="19" t="str">
        <f>"per "&amp;LEFT(D6, LEN(D6)-1)</f>
        <v>per year</v>
      </c>
      <c r="E5" s="3" t="s">
        <v>56</v>
      </c>
      <c r="F5" s="125" t="s">
        <v>121</v>
      </c>
      <c r="G5" s="126" t="s">
        <v>119</v>
      </c>
      <c r="H5" s="3" t="s">
        <v>107</v>
      </c>
      <c r="I5" s="3" t="s">
        <v>6</v>
      </c>
      <c r="J5" s="45">
        <f>C5*C6</f>
        <v>2</v>
      </c>
    </row>
    <row r="6" spans="1:10" s="1" customFormat="1" ht="19.5" thickBot="1" x14ac:dyDescent="0.35">
      <c r="A6" s="2"/>
      <c r="B6" s="3" t="s">
        <v>116</v>
      </c>
      <c r="C6" s="57">
        <v>10</v>
      </c>
      <c r="D6" s="64" t="s">
        <v>117</v>
      </c>
      <c r="F6" s="125"/>
      <c r="G6" s="126"/>
      <c r="H6" s="63" t="s">
        <v>120</v>
      </c>
      <c r="I6" s="3"/>
      <c r="J6" s="40"/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18.75" x14ac:dyDescent="0.3">
      <c r="A9" s="4"/>
      <c r="B9" s="5"/>
      <c r="C9" s="12"/>
      <c r="D9" s="11" t="s">
        <v>122</v>
      </c>
      <c r="E9" s="13" t="s">
        <v>2</v>
      </c>
      <c r="F9" s="14" t="s">
        <v>118</v>
      </c>
      <c r="G9" s="15" t="s">
        <v>123</v>
      </c>
      <c r="H9" s="16" t="s">
        <v>124</v>
      </c>
      <c r="I9" s="49" t="s">
        <v>127</v>
      </c>
    </row>
    <row r="10" spans="1:10" s="6" customFormat="1" ht="10.5" customHeight="1" x14ac:dyDescent="0.25"/>
    <row r="11" spans="1:10" s="19" customFormat="1" ht="19.5" thickBot="1" x14ac:dyDescent="0.35">
      <c r="A11" s="2" t="s">
        <v>125</v>
      </c>
    </row>
    <row r="12" spans="1:10" s="1" customFormat="1" ht="19.5" thickBot="1" x14ac:dyDescent="0.35">
      <c r="C12" s="3" t="s">
        <v>20</v>
      </c>
      <c r="D12" s="57">
        <v>0</v>
      </c>
    </row>
    <row r="13" spans="1:10" s="1" customFormat="1" ht="19.5" thickBot="1" x14ac:dyDescent="0.35">
      <c r="C13" s="3" t="s">
        <v>21</v>
      </c>
      <c r="D13" s="57">
        <v>2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&lt; X ≤ " &amp; D13 &amp;") ="</f>
        <v>Pr(0 &lt; X ≤ 2) =</v>
      </c>
      <c r="D15" s="46">
        <f>POISSON($D$13,$C$5*$C$6,TRUE)-POISSON($D$12,$C$5*$C$6,TRUE)</f>
        <v>0.5413411329464507</v>
      </c>
    </row>
    <row r="16" spans="1:10" s="1" customFormat="1" ht="15.75" x14ac:dyDescent="0.25">
      <c r="C16" s="20" t="str">
        <f>"Pr(X ≤ "&amp;D12&amp;") ="</f>
        <v>Pr(X ≤ 0) =</v>
      </c>
      <c r="D16" s="46">
        <f>POISSON($D$12,$C$5*$C$6,TRUE)</f>
        <v>0.1353352832366127</v>
      </c>
    </row>
    <row r="17" spans="1:7" s="1" customFormat="1" ht="15.75" x14ac:dyDescent="0.25">
      <c r="C17" s="20" t="str">
        <f>"Pr(X ≤ " &amp; D13 &amp; ") ="</f>
        <v>Pr(X ≤ 2) =</v>
      </c>
      <c r="D17" s="46">
        <f>POISSON($D$13,$C$5*$C$6,TRUE)</f>
        <v>0.6766764161830634</v>
      </c>
    </row>
    <row r="18" spans="1:7" s="1" customFormat="1" ht="15.75" x14ac:dyDescent="0.25">
      <c r="C18" s="20" t="str">
        <f>"Pr(X &gt; " &amp; D13 &amp;") ="</f>
        <v>Pr(X &gt; 2) =</v>
      </c>
      <c r="D18" s="46">
        <f>1-POISSON($D$13,$C$5*$C$6,TRUE)</f>
        <v>0.3233235838169366</v>
      </c>
    </row>
    <row r="19" spans="1:7" s="1" customFormat="1" ht="15.75" x14ac:dyDescent="0.25">
      <c r="C19" s="20" t="str">
        <f>"Pr(X = " &amp; D12 &amp; ") ="</f>
        <v>Pr(X = 0) =</v>
      </c>
      <c r="D19" s="46">
        <f>POISSON(D12,D21,0)</f>
        <v>0.1353352832366127</v>
      </c>
    </row>
    <row r="20" spans="1:7" s="1" customFormat="1" ht="15.75" x14ac:dyDescent="0.25">
      <c r="C20" s="20"/>
      <c r="D20" s="46"/>
    </row>
    <row r="21" spans="1:7" s="1" customFormat="1" ht="15.75" x14ac:dyDescent="0.25">
      <c r="C21" s="20" t="s">
        <v>52</v>
      </c>
      <c r="D21" s="46">
        <f>C5*C6</f>
        <v>2</v>
      </c>
    </row>
    <row r="22" spans="1:7" s="1" customFormat="1" ht="15.75" x14ac:dyDescent="0.25">
      <c r="C22" s="20" t="s">
        <v>38</v>
      </c>
      <c r="D22" s="46">
        <f>SQRT(D21)</f>
        <v>1.4142135623730951</v>
      </c>
    </row>
    <row r="23" spans="1:7" s="1" customFormat="1" ht="15.75" x14ac:dyDescent="0.25">
      <c r="C23" s="20" t="s">
        <v>34</v>
      </c>
      <c r="D23" s="46">
        <f>D21</f>
        <v>2</v>
      </c>
    </row>
    <row r="24" spans="1:7" s="1" customFormat="1" ht="15.75" x14ac:dyDescent="0.25">
      <c r="C24" s="20"/>
      <c r="D24" s="46"/>
    </row>
    <row r="25" spans="1:7" s="1" customFormat="1" ht="15.75" x14ac:dyDescent="0.25">
      <c r="C25" s="20" t="s">
        <v>133</v>
      </c>
      <c r="D25" s="46">
        <f>C5*C6-LN(2)</f>
        <v>1.3068528194400546</v>
      </c>
    </row>
    <row r="26" spans="1:7" s="1" customFormat="1" ht="15.75" x14ac:dyDescent="0.25">
      <c r="C26" s="20" t="s">
        <v>134</v>
      </c>
      <c r="D26" s="46">
        <f>C5*C6+1/3</f>
        <v>2.3333333333333335</v>
      </c>
    </row>
    <row r="27" spans="1:7" s="1" customFormat="1" ht="15.75" x14ac:dyDescent="0.25">
      <c r="C27" s="20"/>
      <c r="D27" s="27"/>
    </row>
    <row r="28" spans="1:7" s="1" customFormat="1" x14ac:dyDescent="0.25"/>
    <row r="29" spans="1:7" s="6" customFormat="1" ht="18.75" x14ac:dyDescent="0.3">
      <c r="A29" s="4" t="s">
        <v>126</v>
      </c>
    </row>
    <row r="30" spans="1:7" s="6" customFormat="1" ht="18.75" x14ac:dyDescent="0.3">
      <c r="A30" s="4"/>
    </row>
    <row r="31" spans="1:7" s="6" customFormat="1" ht="18.75" x14ac:dyDescent="0.3">
      <c r="A31" s="4"/>
      <c r="C31" s="30" t="s">
        <v>44</v>
      </c>
      <c r="D31" s="32">
        <f ca="1">AVERAGE(D34:D133)</f>
        <v>1.2</v>
      </c>
      <c r="F31" s="30" t="s">
        <v>45</v>
      </c>
      <c r="G31" s="32">
        <f ca="1">STDEV(D34:D133)</f>
        <v>1.2309149097933274</v>
      </c>
    </row>
    <row r="32" spans="1:7" s="6" customFormat="1" ht="18.75" x14ac:dyDescent="0.3">
      <c r="A32" s="4"/>
    </row>
    <row r="33" spans="2:7" s="6" customFormat="1" ht="15.75" x14ac:dyDescent="0.25">
      <c r="B33" s="31" t="s">
        <v>41</v>
      </c>
      <c r="C33" s="31" t="s">
        <v>42</v>
      </c>
      <c r="D33" s="31" t="s">
        <v>43</v>
      </c>
      <c r="E33" s="33"/>
      <c r="F33" s="34" t="s">
        <v>46</v>
      </c>
    </row>
    <row r="34" spans="2:7" s="6" customFormat="1" x14ac:dyDescent="0.25">
      <c r="B34" s="6">
        <v>1</v>
      </c>
      <c r="C34" s="28">
        <f ca="1">RAND()</f>
        <v>0.47136082209406005</v>
      </c>
      <c r="D34" s="29">
        <f ca="1">IF(ISNA(INDEX(Calc_Area!$E$312:$E$336, MATCH(C34,Calc_Area!$H$312:$H$336,1 )))=FALSE,INDEX(Calc_Area!$E$312:$E$336, MATCH(C34,Calc_Area!$H$312:$H$336,1 )),0)</f>
        <v>1</v>
      </c>
      <c r="F34" s="9">
        <f ca="1">IF(D34&gt;$D$13,0,1)</f>
        <v>1</v>
      </c>
    </row>
    <row r="35" spans="2:7" s="6" customFormat="1" x14ac:dyDescent="0.25">
      <c r="B35" s="6">
        <v>2</v>
      </c>
      <c r="C35" s="28">
        <f ca="1">RAND()</f>
        <v>0.67142074477893698</v>
      </c>
      <c r="D35" s="29">
        <f ca="1">IF(ISNA(INDEX(Calc_Area!$E$312:$E$336, MATCH(C35,Calc_Area!$H$312:$H$336,1 )))=FALSE,INDEX(Calc_Area!$E$312:$E$336, MATCH(C35,Calc_Area!$H$312:$H$336,1 )),0)</f>
        <v>1</v>
      </c>
      <c r="F35" s="9">
        <f t="shared" ref="F35:F98" ca="1" si="0">IF(D35&gt;$D$13,0,1)</f>
        <v>1</v>
      </c>
      <c r="G35" s="36" t="s">
        <v>47</v>
      </c>
    </row>
    <row r="36" spans="2:7" s="6" customFormat="1" x14ac:dyDescent="0.25">
      <c r="B36" s="6">
        <v>3</v>
      </c>
      <c r="C36" s="28">
        <f t="shared" ref="C36:C99" ca="1" si="1">RAND()</f>
        <v>0.30724240407777637</v>
      </c>
      <c r="D36" s="29">
        <f ca="1">IF(ISNA(INDEX(Calc_Area!$E$312:$E$336, MATCH(C36,Calc_Area!$H$312:$H$336,1 )))=FALSE,INDEX(Calc_Area!$E$312:$E$336, MATCH(C36,Calc_Area!$H$312:$H$336,1 )),0)</f>
        <v>0</v>
      </c>
      <c r="F36" s="9">
        <f t="shared" ca="1" si="0"/>
        <v>1</v>
      </c>
      <c r="G36" s="47">
        <f ca="1">SUM(F34:F133)/100</f>
        <v>0.83</v>
      </c>
    </row>
    <row r="37" spans="2:7" s="6" customFormat="1" x14ac:dyDescent="0.25">
      <c r="B37" s="6">
        <v>4</v>
      </c>
      <c r="C37" s="28">
        <f t="shared" ca="1" si="1"/>
        <v>0.62828454483296248</v>
      </c>
      <c r="D37" s="29">
        <f ca="1">IF(ISNA(INDEX(Calc_Area!$E$312:$E$336, MATCH(C37,Calc_Area!$H$312:$H$336,1 )))=FALSE,INDEX(Calc_Area!$E$312:$E$336, MATCH(C37,Calc_Area!$H$312:$H$336,1 )),0)</f>
        <v>1</v>
      </c>
      <c r="F37" s="9">
        <f t="shared" ca="1" si="0"/>
        <v>1</v>
      </c>
    </row>
    <row r="38" spans="2:7" s="6" customFormat="1" x14ac:dyDescent="0.25">
      <c r="B38" s="6">
        <v>5</v>
      </c>
      <c r="C38" s="28">
        <f t="shared" ca="1" si="1"/>
        <v>0.32674306476353776</v>
      </c>
      <c r="D38" s="29">
        <f ca="1">IF(ISNA(INDEX(Calc_Area!$E$312:$E$336, MATCH(C38,Calc_Area!$H$312:$H$336,1 )))=FALSE,INDEX(Calc_Area!$E$312:$E$336, MATCH(C38,Calc_Area!$H$312:$H$336,1 )),0)</f>
        <v>0</v>
      </c>
      <c r="F38" s="9">
        <f t="shared" ca="1" si="0"/>
        <v>1</v>
      </c>
      <c r="G38" s="36" t="s">
        <v>49</v>
      </c>
    </row>
    <row r="39" spans="2:7" s="6" customFormat="1" x14ac:dyDescent="0.25">
      <c r="B39" s="6">
        <v>6</v>
      </c>
      <c r="C39" s="28">
        <f t="shared" ca="1" si="1"/>
        <v>0.5271429325971243</v>
      </c>
      <c r="D39" s="29">
        <f ca="1">IF(ISNA(INDEX(Calc_Area!$E$312:$E$336, MATCH(C39,Calc_Area!$H$312:$H$336,1 )))=FALSE,INDEX(Calc_Area!$E$312:$E$336, MATCH(C39,Calc_Area!$H$312:$H$336,1 )),0)</f>
        <v>1</v>
      </c>
      <c r="F39" s="9">
        <f t="shared" ca="1" si="0"/>
        <v>1</v>
      </c>
      <c r="G39" s="47">
        <f ca="1">PERCENTILE($D$34:$D$133, 0.05)</f>
        <v>0</v>
      </c>
    </row>
    <row r="40" spans="2:7" s="6" customFormat="1" x14ac:dyDescent="0.25">
      <c r="B40" s="6">
        <v>7</v>
      </c>
      <c r="C40" s="28">
        <f t="shared" ca="1" si="1"/>
        <v>0.62386078306896031</v>
      </c>
      <c r="D40" s="29">
        <f ca="1">IF(ISNA(INDEX(Calc_Area!$E$312:$E$336, MATCH(C40,Calc_Area!$H$312:$H$336,1 )))=FALSE,INDEX(Calc_Area!$E$312:$E$336, MATCH(C40,Calc_Area!$H$312:$H$336,1 )),0)</f>
        <v>1</v>
      </c>
      <c r="F40" s="9">
        <f t="shared" ca="1" si="0"/>
        <v>1</v>
      </c>
    </row>
    <row r="41" spans="2:7" s="6" customFormat="1" x14ac:dyDescent="0.25">
      <c r="B41" s="6">
        <v>8</v>
      </c>
      <c r="C41" s="28">
        <f t="shared" ca="1" si="1"/>
        <v>0.42761970719200482</v>
      </c>
      <c r="D41" s="29">
        <f ca="1">IF(ISNA(INDEX(Calc_Area!$E$312:$E$336, MATCH(C41,Calc_Area!$H$312:$H$336,1 )))=FALSE,INDEX(Calc_Area!$E$312:$E$336, MATCH(C41,Calc_Area!$H$312:$H$336,1 )),0)</f>
        <v>1</v>
      </c>
      <c r="F41" s="9">
        <f t="shared" ca="1" si="0"/>
        <v>1</v>
      </c>
      <c r="G41" s="36" t="s">
        <v>50</v>
      </c>
    </row>
    <row r="42" spans="2:7" s="6" customFormat="1" x14ac:dyDescent="0.25">
      <c r="B42" s="6">
        <v>9</v>
      </c>
      <c r="C42" s="28">
        <f t="shared" ca="1" si="1"/>
        <v>0.91710858896133829</v>
      </c>
      <c r="D42" s="29">
        <f ca="1">IF(ISNA(INDEX(Calc_Area!$E$312:$E$336, MATCH(C42,Calc_Area!$H$312:$H$336,1 )))=FALSE,INDEX(Calc_Area!$E$312:$E$336, MATCH(C42,Calc_Area!$H$312:$H$336,1 )),0)</f>
        <v>3</v>
      </c>
      <c r="F42" s="9">
        <f t="shared" ca="1" si="0"/>
        <v>0</v>
      </c>
      <c r="G42" s="47">
        <f ca="1">INT(PERCENTILE($D$34:$D$133, 0.5))</f>
        <v>1</v>
      </c>
    </row>
    <row r="43" spans="2:7" s="6" customFormat="1" x14ac:dyDescent="0.25">
      <c r="B43" s="6">
        <v>10</v>
      </c>
      <c r="C43" s="28">
        <f t="shared" ca="1" si="1"/>
        <v>0.928927553065512</v>
      </c>
      <c r="D43" s="29">
        <f ca="1">IF(ISNA(INDEX(Calc_Area!$E$312:$E$336, MATCH(C43,Calc_Area!$H$312:$H$336,1 )))=FALSE,INDEX(Calc_Area!$E$312:$E$336, MATCH(C43,Calc_Area!$H$312:$H$336,1 )),0)</f>
        <v>3</v>
      </c>
      <c r="F43" s="9">
        <f t="shared" ca="1" si="0"/>
        <v>0</v>
      </c>
    </row>
    <row r="44" spans="2:7" s="6" customFormat="1" x14ac:dyDescent="0.25">
      <c r="B44" s="6">
        <v>11</v>
      </c>
      <c r="C44" s="28">
        <f t="shared" ca="1" si="1"/>
        <v>0.57795727599390878</v>
      </c>
      <c r="D44" s="29">
        <f ca="1">IF(ISNA(INDEX(Calc_Area!$E$312:$E$336, MATCH(C44,Calc_Area!$H$312:$H$336,1 )))=FALSE,INDEX(Calc_Area!$E$312:$E$336, MATCH(C44,Calc_Area!$H$312:$H$336,1 )),0)</f>
        <v>1</v>
      </c>
      <c r="F44" s="9">
        <f t="shared" ca="1" si="0"/>
        <v>1</v>
      </c>
      <c r="G44" s="36" t="s">
        <v>51</v>
      </c>
    </row>
    <row r="45" spans="2:7" s="6" customFormat="1" x14ac:dyDescent="0.25">
      <c r="B45" s="6">
        <v>12</v>
      </c>
      <c r="C45" s="28">
        <f t="shared" ca="1" si="1"/>
        <v>0.22090732425252235</v>
      </c>
      <c r="D45" s="29">
        <f ca="1">IF(ISNA(INDEX(Calc_Area!$E$312:$E$336, MATCH(C45,Calc_Area!$H$312:$H$336,1 )))=FALSE,INDEX(Calc_Area!$E$312:$E$336, MATCH(C45,Calc_Area!$H$312:$H$336,1 )),0)</f>
        <v>0</v>
      </c>
      <c r="F45" s="9">
        <f t="shared" ca="1" si="0"/>
        <v>1</v>
      </c>
      <c r="G45" s="47">
        <f ca="1">INT(PERCENTILE($D$34:$D$133, 0.95))</f>
        <v>3</v>
      </c>
    </row>
    <row r="46" spans="2:7" s="6" customFormat="1" x14ac:dyDescent="0.25">
      <c r="B46" s="6">
        <v>13</v>
      </c>
      <c r="C46" s="28">
        <f t="shared" ca="1" si="1"/>
        <v>0.46163387444776793</v>
      </c>
      <c r="D46" s="29">
        <f ca="1">IF(ISNA(INDEX(Calc_Area!$E$312:$E$336, MATCH(C46,Calc_Area!$H$312:$H$336,1 )))=FALSE,INDEX(Calc_Area!$E$312:$E$336, MATCH(C46,Calc_Area!$H$312:$H$336,1 )),0)</f>
        <v>1</v>
      </c>
      <c r="F46" s="9">
        <f t="shared" ca="1" si="0"/>
        <v>1</v>
      </c>
    </row>
    <row r="47" spans="2:7" s="6" customFormat="1" x14ac:dyDescent="0.25">
      <c r="B47" s="6">
        <v>14</v>
      </c>
      <c r="C47" s="28">
        <f t="shared" ca="1" si="1"/>
        <v>0.72893123058432674</v>
      </c>
      <c r="D47" s="29">
        <f ca="1">IF(ISNA(INDEX(Calc_Area!$E$312:$E$336, MATCH(C47,Calc_Area!$H$312:$H$336,1 )))=FALSE,INDEX(Calc_Area!$E$312:$E$336, MATCH(C47,Calc_Area!$H$312:$H$336,1 )),0)</f>
        <v>2</v>
      </c>
      <c r="F47" s="9">
        <f t="shared" ca="1" si="0"/>
        <v>1</v>
      </c>
    </row>
    <row r="48" spans="2:7" s="6" customFormat="1" x14ac:dyDescent="0.25">
      <c r="B48" s="6">
        <v>15</v>
      </c>
      <c r="C48" s="28">
        <f t="shared" ca="1" si="1"/>
        <v>0.38757332723331306</v>
      </c>
      <c r="D48" s="29">
        <f ca="1">IF(ISNA(INDEX(Calc_Area!$E$312:$E$336, MATCH(C48,Calc_Area!$H$312:$H$336,1 )))=FALSE,INDEX(Calc_Area!$E$312:$E$336, MATCH(C48,Calc_Area!$H$312:$H$336,1 )),0)</f>
        <v>0</v>
      </c>
      <c r="F48" s="9">
        <f t="shared" ca="1" si="0"/>
        <v>1</v>
      </c>
    </row>
    <row r="49" spans="2:8" s="6" customFormat="1" x14ac:dyDescent="0.25">
      <c r="B49" s="6">
        <v>16</v>
      </c>
      <c r="C49" s="28">
        <f t="shared" ca="1" si="1"/>
        <v>0.67272838124288314</v>
      </c>
      <c r="D49" s="29">
        <f ca="1">IF(ISNA(INDEX(Calc_Area!$E$312:$E$336, MATCH(C49,Calc_Area!$H$312:$H$336,1 )))=FALSE,INDEX(Calc_Area!$E$312:$E$336, MATCH(C49,Calc_Area!$H$312:$H$336,1 )),0)</f>
        <v>1</v>
      </c>
      <c r="F49" s="9">
        <f t="shared" ca="1" si="0"/>
        <v>1</v>
      </c>
    </row>
    <row r="50" spans="2:8" s="6" customFormat="1" x14ac:dyDescent="0.25">
      <c r="B50" s="6">
        <v>17</v>
      </c>
      <c r="C50" s="28">
        <f t="shared" ca="1" si="1"/>
        <v>0.41652192016520007</v>
      </c>
      <c r="D50" s="29">
        <f ca="1">IF(ISNA(INDEX(Calc_Area!$E$312:$E$336, MATCH(C50,Calc_Area!$H$312:$H$336,1 )))=FALSE,INDEX(Calc_Area!$E$312:$E$336, MATCH(C50,Calc_Area!$H$312:$H$336,1 )),0)</f>
        <v>1</v>
      </c>
      <c r="F50" s="9">
        <f t="shared" ca="1" si="0"/>
        <v>1</v>
      </c>
    </row>
    <row r="51" spans="2:8" s="6" customFormat="1" x14ac:dyDescent="0.25">
      <c r="B51" s="6">
        <v>18</v>
      </c>
      <c r="C51" s="28">
        <f t="shared" ca="1" si="1"/>
        <v>7.1711860970385954E-3</v>
      </c>
      <c r="D51" s="29">
        <f ca="1">IF(ISNA(INDEX(Calc_Area!$E$312:$E$336, MATCH(C51,Calc_Area!$H$312:$H$336,1 )))=FALSE,INDEX(Calc_Area!$E$312:$E$336, MATCH(C51,Calc_Area!$H$312:$H$336,1 )),0)</f>
        <v>0</v>
      </c>
      <c r="F51" s="9">
        <f t="shared" ca="1" si="0"/>
        <v>1</v>
      </c>
    </row>
    <row r="52" spans="2:8" s="6" customFormat="1" x14ac:dyDescent="0.25">
      <c r="B52" s="6">
        <v>19</v>
      </c>
      <c r="C52" s="28">
        <f t="shared" ca="1" si="1"/>
        <v>0.39155321924856124</v>
      </c>
      <c r="D52" s="29">
        <f ca="1">IF(ISNA(INDEX(Calc_Area!$E$312:$E$336, MATCH(C52,Calc_Area!$H$312:$H$336,1 )))=FALSE,INDEX(Calc_Area!$E$312:$E$336, MATCH(C52,Calc_Area!$H$312:$H$336,1 )),0)</f>
        <v>0</v>
      </c>
      <c r="F52" s="9">
        <f t="shared" ca="1" si="0"/>
        <v>1</v>
      </c>
      <c r="H52" s="41" t="s">
        <v>105</v>
      </c>
    </row>
    <row r="53" spans="2:8" s="6" customFormat="1" x14ac:dyDescent="0.25">
      <c r="B53" s="6">
        <v>20</v>
      </c>
      <c r="C53" s="28">
        <f t="shared" ca="1" si="1"/>
        <v>0.45469932408984881</v>
      </c>
      <c r="D53" s="29">
        <f ca="1">IF(ISNA(INDEX(Calc_Area!$E$312:$E$336, MATCH(C53,Calc_Area!$H$312:$H$336,1 )))=FALSE,INDEX(Calc_Area!$E$312:$E$336, MATCH(C53,Calc_Area!$H$312:$H$336,1 )),0)</f>
        <v>1</v>
      </c>
      <c r="F53" s="9">
        <f t="shared" ca="1" si="0"/>
        <v>1</v>
      </c>
    </row>
    <row r="54" spans="2:8" s="6" customFormat="1" x14ac:dyDescent="0.25">
      <c r="B54" s="6">
        <v>21</v>
      </c>
      <c r="C54" s="28">
        <f t="shared" ca="1" si="1"/>
        <v>0.65837458245877012</v>
      </c>
      <c r="D54" s="29">
        <f ca="1">IF(ISNA(INDEX(Calc_Area!$E$312:$E$336, MATCH(C54,Calc_Area!$H$312:$H$336,1 )))=FALSE,INDEX(Calc_Area!$E$312:$E$336, MATCH(C54,Calc_Area!$H$312:$H$336,1 )),0)</f>
        <v>1</v>
      </c>
      <c r="F54" s="9">
        <f t="shared" ca="1" si="0"/>
        <v>1</v>
      </c>
    </row>
    <row r="55" spans="2:8" s="6" customFormat="1" x14ac:dyDescent="0.25">
      <c r="B55" s="6">
        <v>22</v>
      </c>
      <c r="C55" s="28">
        <f t="shared" ca="1" si="1"/>
        <v>5.4806515060033645E-2</v>
      </c>
      <c r="D55" s="29">
        <f ca="1">IF(ISNA(INDEX(Calc_Area!$E$312:$E$336, MATCH(C55,Calc_Area!$H$312:$H$336,1 )))=FALSE,INDEX(Calc_Area!$E$312:$E$336, MATCH(C55,Calc_Area!$H$312:$H$336,1 )),0)</f>
        <v>0</v>
      </c>
      <c r="F55" s="9">
        <f t="shared" ca="1" si="0"/>
        <v>1</v>
      </c>
    </row>
    <row r="56" spans="2:8" s="6" customFormat="1" x14ac:dyDescent="0.25">
      <c r="B56" s="6">
        <v>23</v>
      </c>
      <c r="C56" s="28">
        <f t="shared" ca="1" si="1"/>
        <v>0.77503080886000308</v>
      </c>
      <c r="D56" s="29">
        <f ca="1">IF(ISNA(INDEX(Calc_Area!$E$312:$E$336, MATCH(C56,Calc_Area!$H$312:$H$336,1 )))=FALSE,INDEX(Calc_Area!$E$312:$E$336, MATCH(C56,Calc_Area!$H$312:$H$336,1 )),0)</f>
        <v>2</v>
      </c>
      <c r="F56" s="9">
        <f t="shared" ca="1" si="0"/>
        <v>1</v>
      </c>
    </row>
    <row r="57" spans="2:8" s="6" customFormat="1" x14ac:dyDescent="0.25">
      <c r="B57" s="6">
        <v>24</v>
      </c>
      <c r="C57" s="28">
        <f t="shared" ca="1" si="1"/>
        <v>0.80717267222408684</v>
      </c>
      <c r="D57" s="29">
        <f ca="1">IF(ISNA(INDEX(Calc_Area!$E$312:$E$336, MATCH(C57,Calc_Area!$H$312:$H$336,1 )))=FALSE,INDEX(Calc_Area!$E$312:$E$336, MATCH(C57,Calc_Area!$H$312:$H$336,1 )),0)</f>
        <v>2</v>
      </c>
      <c r="F57" s="9">
        <f t="shared" ca="1" si="0"/>
        <v>1</v>
      </c>
    </row>
    <row r="58" spans="2:8" s="6" customFormat="1" x14ac:dyDescent="0.25">
      <c r="B58" s="6">
        <v>25</v>
      </c>
      <c r="C58" s="28">
        <f t="shared" ca="1" si="1"/>
        <v>0.93957603394332756</v>
      </c>
      <c r="D58" s="29">
        <f ca="1">IF(ISNA(INDEX(Calc_Area!$E$312:$E$336, MATCH(C58,Calc_Area!$H$312:$H$336,1 )))=FALSE,INDEX(Calc_Area!$E$312:$E$336, MATCH(C58,Calc_Area!$H$312:$H$336,1 )),0)</f>
        <v>3</v>
      </c>
      <c r="F58" s="9">
        <f t="shared" ca="1" si="0"/>
        <v>0</v>
      </c>
    </row>
    <row r="59" spans="2:8" s="6" customFormat="1" x14ac:dyDescent="0.25">
      <c r="B59" s="6">
        <v>26</v>
      </c>
      <c r="C59" s="28">
        <f t="shared" ca="1" si="1"/>
        <v>0.83442740519281966</v>
      </c>
      <c r="D59" s="29">
        <f ca="1">IF(ISNA(INDEX(Calc_Area!$E$312:$E$336, MATCH(C59,Calc_Area!$H$312:$H$336,1 )))=FALSE,INDEX(Calc_Area!$E$312:$E$336, MATCH(C59,Calc_Area!$H$312:$H$336,1 )),0)</f>
        <v>2</v>
      </c>
      <c r="F59" s="9">
        <f t="shared" ca="1" si="0"/>
        <v>1</v>
      </c>
    </row>
    <row r="60" spans="2:8" s="6" customFormat="1" x14ac:dyDescent="0.25">
      <c r="B60" s="6">
        <v>27</v>
      </c>
      <c r="C60" s="28">
        <f t="shared" ca="1" si="1"/>
        <v>0.37396544651992047</v>
      </c>
      <c r="D60" s="29">
        <f ca="1">IF(ISNA(INDEX(Calc_Area!$E$312:$E$336, MATCH(C60,Calc_Area!$H$312:$H$336,1 )))=FALSE,INDEX(Calc_Area!$E$312:$E$336, MATCH(C60,Calc_Area!$H$312:$H$336,1 )),0)</f>
        <v>0</v>
      </c>
      <c r="F60" s="9">
        <f t="shared" ca="1" si="0"/>
        <v>1</v>
      </c>
    </row>
    <row r="61" spans="2:8" s="6" customFormat="1" x14ac:dyDescent="0.25">
      <c r="B61" s="6">
        <v>28</v>
      </c>
      <c r="C61" s="28">
        <f t="shared" ca="1" si="1"/>
        <v>0.421406739928607</v>
      </c>
      <c r="D61" s="29">
        <f ca="1">IF(ISNA(INDEX(Calc_Area!$E$312:$E$336, MATCH(C61,Calc_Area!$H$312:$H$336,1 )))=FALSE,INDEX(Calc_Area!$E$312:$E$336, MATCH(C61,Calc_Area!$H$312:$H$336,1 )),0)</f>
        <v>1</v>
      </c>
      <c r="F61" s="9">
        <f t="shared" ca="1" si="0"/>
        <v>1</v>
      </c>
    </row>
    <row r="62" spans="2:8" s="6" customFormat="1" x14ac:dyDescent="0.25">
      <c r="B62" s="6">
        <v>29</v>
      </c>
      <c r="C62" s="28">
        <f t="shared" ca="1" si="1"/>
        <v>0.41198671923999719</v>
      </c>
      <c r="D62" s="29">
        <f ca="1">IF(ISNA(INDEX(Calc_Area!$E$312:$E$336, MATCH(C62,Calc_Area!$H$312:$H$336,1 )))=FALSE,INDEX(Calc_Area!$E$312:$E$336, MATCH(C62,Calc_Area!$H$312:$H$336,1 )),0)</f>
        <v>1</v>
      </c>
      <c r="F62" s="9">
        <f t="shared" ca="1" si="0"/>
        <v>1</v>
      </c>
    </row>
    <row r="63" spans="2:8" s="6" customFormat="1" x14ac:dyDescent="0.25">
      <c r="B63" s="6">
        <v>30</v>
      </c>
      <c r="C63" s="28">
        <f t="shared" ca="1" si="1"/>
        <v>0.40573324820901502</v>
      </c>
      <c r="D63" s="29">
        <f ca="1">IF(ISNA(INDEX(Calc_Area!$E$312:$E$336, MATCH(C63,Calc_Area!$H$312:$H$336,1 )))=FALSE,INDEX(Calc_Area!$E$312:$E$336, MATCH(C63,Calc_Area!$H$312:$H$336,1 )),0)</f>
        <v>0</v>
      </c>
      <c r="F63" s="9">
        <f t="shared" ca="1" si="0"/>
        <v>1</v>
      </c>
    </row>
    <row r="64" spans="2:8" s="6" customFormat="1" x14ac:dyDescent="0.25">
      <c r="B64" s="6">
        <v>31</v>
      </c>
      <c r="C64" s="28">
        <f t="shared" ca="1" si="1"/>
        <v>6.5108992924067688E-2</v>
      </c>
      <c r="D64" s="29">
        <f ca="1">IF(ISNA(INDEX(Calc_Area!$E$312:$E$336, MATCH(C64,Calc_Area!$H$312:$H$336,1 )))=FALSE,INDEX(Calc_Area!$E$312:$E$336, MATCH(C64,Calc_Area!$H$312:$H$336,1 )),0)</f>
        <v>0</v>
      </c>
      <c r="F64" s="9">
        <f t="shared" ca="1" si="0"/>
        <v>1</v>
      </c>
    </row>
    <row r="65" spans="2:6" s="6" customFormat="1" x14ac:dyDescent="0.25">
      <c r="B65" s="6">
        <v>32</v>
      </c>
      <c r="C65" s="28">
        <f t="shared" ca="1" si="1"/>
        <v>0.75195020533267531</v>
      </c>
      <c r="D65" s="29">
        <f ca="1">IF(ISNA(INDEX(Calc_Area!$E$312:$E$336, MATCH(C65,Calc_Area!$H$312:$H$336,1 )))=FALSE,INDEX(Calc_Area!$E$312:$E$336, MATCH(C65,Calc_Area!$H$312:$H$336,1 )),0)</f>
        <v>2</v>
      </c>
      <c r="F65" s="9">
        <f t="shared" ca="1" si="0"/>
        <v>1</v>
      </c>
    </row>
    <row r="66" spans="2:6" s="6" customFormat="1" x14ac:dyDescent="0.25">
      <c r="B66" s="6">
        <v>33</v>
      </c>
      <c r="C66" s="28">
        <f t="shared" ca="1" si="1"/>
        <v>0.70218290030531749</v>
      </c>
      <c r="D66" s="29">
        <f ca="1">IF(ISNA(INDEX(Calc_Area!$E$312:$E$336, MATCH(C66,Calc_Area!$H$312:$H$336,1 )))=FALSE,INDEX(Calc_Area!$E$312:$E$336, MATCH(C66,Calc_Area!$H$312:$H$336,1 )),0)</f>
        <v>2</v>
      </c>
      <c r="F66" s="9">
        <f t="shared" ca="1" si="0"/>
        <v>1</v>
      </c>
    </row>
    <row r="67" spans="2:6" s="6" customFormat="1" x14ac:dyDescent="0.25">
      <c r="B67" s="6">
        <v>34</v>
      </c>
      <c r="C67" s="28">
        <f t="shared" ca="1" si="1"/>
        <v>0.88344224995373688</v>
      </c>
      <c r="D67" s="29">
        <f ca="1">IF(ISNA(INDEX(Calc_Area!$E$312:$E$336, MATCH(C67,Calc_Area!$H$312:$H$336,1 )))=FALSE,INDEX(Calc_Area!$E$312:$E$336, MATCH(C67,Calc_Area!$H$312:$H$336,1 )),0)</f>
        <v>3</v>
      </c>
      <c r="F67" s="9">
        <f t="shared" ca="1" si="0"/>
        <v>0</v>
      </c>
    </row>
    <row r="68" spans="2:6" s="6" customFormat="1" x14ac:dyDescent="0.25">
      <c r="B68" s="6">
        <v>35</v>
      </c>
      <c r="C68" s="28">
        <f t="shared" ca="1" si="1"/>
        <v>3.1155141613178117E-2</v>
      </c>
      <c r="D68" s="29">
        <f ca="1">IF(ISNA(INDEX(Calc_Area!$E$312:$E$336, MATCH(C68,Calc_Area!$H$312:$H$336,1 )))=FALSE,INDEX(Calc_Area!$E$312:$E$336, MATCH(C68,Calc_Area!$H$312:$H$336,1 )),0)</f>
        <v>0</v>
      </c>
      <c r="F68" s="9">
        <f t="shared" ca="1" si="0"/>
        <v>1</v>
      </c>
    </row>
    <row r="69" spans="2:6" s="6" customFormat="1" x14ac:dyDescent="0.25">
      <c r="B69" s="6">
        <v>36</v>
      </c>
      <c r="C69" s="28">
        <f t="shared" ca="1" si="1"/>
        <v>0.2475632755014685</v>
      </c>
      <c r="D69" s="29">
        <f ca="1">IF(ISNA(INDEX(Calc_Area!$E$312:$E$336, MATCH(C69,Calc_Area!$H$312:$H$336,1 )))=FALSE,INDEX(Calc_Area!$E$312:$E$336, MATCH(C69,Calc_Area!$H$312:$H$336,1 )),0)</f>
        <v>0</v>
      </c>
      <c r="F69" s="9">
        <f t="shared" ca="1" si="0"/>
        <v>1</v>
      </c>
    </row>
    <row r="70" spans="2:6" s="6" customFormat="1" x14ac:dyDescent="0.25">
      <c r="B70" s="6">
        <v>37</v>
      </c>
      <c r="C70" s="28">
        <f t="shared" ca="1" si="1"/>
        <v>0.71976692554812272</v>
      </c>
      <c r="D70" s="29">
        <f ca="1">IF(ISNA(INDEX(Calc_Area!$E$312:$E$336, MATCH(C70,Calc_Area!$H$312:$H$336,1 )))=FALSE,INDEX(Calc_Area!$E$312:$E$336, MATCH(C70,Calc_Area!$H$312:$H$336,1 )),0)</f>
        <v>2</v>
      </c>
      <c r="F70" s="9">
        <f t="shared" ca="1" si="0"/>
        <v>1</v>
      </c>
    </row>
    <row r="71" spans="2:6" s="6" customFormat="1" x14ac:dyDescent="0.25">
      <c r="B71" s="6">
        <v>38</v>
      </c>
      <c r="C71" s="28">
        <f t="shared" ca="1" si="1"/>
        <v>0.42009456202447071</v>
      </c>
      <c r="D71" s="29">
        <f ca="1">IF(ISNA(INDEX(Calc_Area!$E$312:$E$336, MATCH(C71,Calc_Area!$H$312:$H$336,1 )))=FALSE,INDEX(Calc_Area!$E$312:$E$336, MATCH(C71,Calc_Area!$H$312:$H$336,1 )),0)</f>
        <v>1</v>
      </c>
      <c r="F71" s="9">
        <f t="shared" ca="1" si="0"/>
        <v>1</v>
      </c>
    </row>
    <row r="72" spans="2:6" s="6" customFormat="1" x14ac:dyDescent="0.25">
      <c r="B72" s="6">
        <v>39</v>
      </c>
      <c r="C72" s="28">
        <f t="shared" ca="1" si="1"/>
        <v>4.9990725124689939E-2</v>
      </c>
      <c r="D72" s="29">
        <f ca="1">IF(ISNA(INDEX(Calc_Area!$E$312:$E$336, MATCH(C72,Calc_Area!$H$312:$H$336,1 )))=FALSE,INDEX(Calc_Area!$E$312:$E$336, MATCH(C72,Calc_Area!$H$312:$H$336,1 )),0)</f>
        <v>0</v>
      </c>
      <c r="F72" s="9">
        <f t="shared" ca="1" si="0"/>
        <v>1</v>
      </c>
    </row>
    <row r="73" spans="2:6" s="6" customFormat="1" x14ac:dyDescent="0.25">
      <c r="B73" s="6">
        <v>40</v>
      </c>
      <c r="C73" s="28">
        <f t="shared" ca="1" si="1"/>
        <v>7.2164253096574704E-2</v>
      </c>
      <c r="D73" s="29">
        <f ca="1">IF(ISNA(INDEX(Calc_Area!$E$312:$E$336, MATCH(C73,Calc_Area!$H$312:$H$336,1 )))=FALSE,INDEX(Calc_Area!$E$312:$E$336, MATCH(C73,Calc_Area!$H$312:$H$336,1 )),0)</f>
        <v>0</v>
      </c>
      <c r="F73" s="9">
        <f t="shared" ca="1" si="0"/>
        <v>1</v>
      </c>
    </row>
    <row r="74" spans="2:6" s="6" customFormat="1" x14ac:dyDescent="0.25">
      <c r="B74" s="6">
        <v>41</v>
      </c>
      <c r="C74" s="28">
        <f t="shared" ca="1" si="1"/>
        <v>0.69172570249385346</v>
      </c>
      <c r="D74" s="29">
        <f ca="1">IF(ISNA(INDEX(Calc_Area!$E$312:$E$336, MATCH(C74,Calc_Area!$H$312:$H$336,1 )))=FALSE,INDEX(Calc_Area!$E$312:$E$336, MATCH(C74,Calc_Area!$H$312:$H$336,1 )),0)</f>
        <v>2</v>
      </c>
      <c r="F74" s="9">
        <f t="shared" ca="1" si="0"/>
        <v>1</v>
      </c>
    </row>
    <row r="75" spans="2:6" s="6" customFormat="1" x14ac:dyDescent="0.25">
      <c r="B75" s="6">
        <v>42</v>
      </c>
      <c r="C75" s="28">
        <f t="shared" ca="1" si="1"/>
        <v>0.92289978282428764</v>
      </c>
      <c r="D75" s="29">
        <f ca="1">IF(ISNA(INDEX(Calc_Area!$E$312:$E$336, MATCH(C75,Calc_Area!$H$312:$H$336,1 )))=FALSE,INDEX(Calc_Area!$E$312:$E$336, MATCH(C75,Calc_Area!$H$312:$H$336,1 )),0)</f>
        <v>3</v>
      </c>
      <c r="F75" s="9">
        <f t="shared" ca="1" si="0"/>
        <v>0</v>
      </c>
    </row>
    <row r="76" spans="2:6" s="6" customFormat="1" x14ac:dyDescent="0.25">
      <c r="B76" s="6">
        <v>43</v>
      </c>
      <c r="C76" s="28">
        <f t="shared" ca="1" si="1"/>
        <v>0.28427070798056342</v>
      </c>
      <c r="D76" s="29">
        <f ca="1">IF(ISNA(INDEX(Calc_Area!$E$312:$E$336, MATCH(C76,Calc_Area!$H$312:$H$336,1 )))=FALSE,INDEX(Calc_Area!$E$312:$E$336, MATCH(C76,Calc_Area!$H$312:$H$336,1 )),0)</f>
        <v>0</v>
      </c>
      <c r="F76" s="9">
        <f t="shared" ca="1" si="0"/>
        <v>1</v>
      </c>
    </row>
    <row r="77" spans="2:6" s="6" customFormat="1" x14ac:dyDescent="0.25">
      <c r="B77" s="6">
        <v>44</v>
      </c>
      <c r="C77" s="28">
        <f t="shared" ca="1" si="1"/>
        <v>9.8806158410612466E-2</v>
      </c>
      <c r="D77" s="29">
        <f ca="1">IF(ISNA(INDEX(Calc_Area!$E$312:$E$336, MATCH(C77,Calc_Area!$H$312:$H$336,1 )))=FALSE,INDEX(Calc_Area!$E$312:$E$336, MATCH(C77,Calc_Area!$H$312:$H$336,1 )),0)</f>
        <v>0</v>
      </c>
      <c r="F77" s="9">
        <f t="shared" ca="1" si="0"/>
        <v>1</v>
      </c>
    </row>
    <row r="78" spans="2:6" s="6" customFormat="1" x14ac:dyDescent="0.25">
      <c r="B78" s="6">
        <v>45</v>
      </c>
      <c r="C78" s="28">
        <f t="shared" ca="1" si="1"/>
        <v>0.22653100142364724</v>
      </c>
      <c r="D78" s="29">
        <f ca="1">IF(ISNA(INDEX(Calc_Area!$E$312:$E$336, MATCH(C78,Calc_Area!$H$312:$H$336,1 )))=FALSE,INDEX(Calc_Area!$E$312:$E$336, MATCH(C78,Calc_Area!$H$312:$H$336,1 )),0)</f>
        <v>0</v>
      </c>
      <c r="F78" s="9">
        <f t="shared" ca="1" si="0"/>
        <v>1</v>
      </c>
    </row>
    <row r="79" spans="2:6" s="6" customFormat="1" x14ac:dyDescent="0.25">
      <c r="B79" s="6">
        <v>46</v>
      </c>
      <c r="C79" s="28">
        <f t="shared" ca="1" si="1"/>
        <v>0.28220734615549992</v>
      </c>
      <c r="D79" s="29">
        <f ca="1">IF(ISNA(INDEX(Calc_Area!$E$312:$E$336, MATCH(C79,Calc_Area!$H$312:$H$336,1 )))=FALSE,INDEX(Calc_Area!$E$312:$E$336, MATCH(C79,Calc_Area!$H$312:$H$336,1 )),0)</f>
        <v>0</v>
      </c>
      <c r="F79" s="9">
        <f t="shared" ca="1" si="0"/>
        <v>1</v>
      </c>
    </row>
    <row r="80" spans="2:6" s="6" customFormat="1" x14ac:dyDescent="0.25">
      <c r="B80" s="6">
        <v>47</v>
      </c>
      <c r="C80" s="28">
        <f t="shared" ca="1" si="1"/>
        <v>2.1337162118499564E-2</v>
      </c>
      <c r="D80" s="29">
        <f ca="1">IF(ISNA(INDEX(Calc_Area!$E$312:$E$336, MATCH(C80,Calc_Area!$H$312:$H$336,1 )))=FALSE,INDEX(Calc_Area!$E$312:$E$336, MATCH(C80,Calc_Area!$H$312:$H$336,1 )),0)</f>
        <v>0</v>
      </c>
      <c r="F80" s="9">
        <f t="shared" ca="1" si="0"/>
        <v>1</v>
      </c>
    </row>
    <row r="81" spans="2:6" s="6" customFormat="1" x14ac:dyDescent="0.25">
      <c r="B81" s="6">
        <v>48</v>
      </c>
      <c r="C81" s="28">
        <f t="shared" ca="1" si="1"/>
        <v>8.3373158552346838E-2</v>
      </c>
      <c r="D81" s="29">
        <f ca="1">IF(ISNA(INDEX(Calc_Area!$E$312:$E$336, MATCH(C81,Calc_Area!$H$312:$H$336,1 )))=FALSE,INDEX(Calc_Area!$E$312:$E$336, MATCH(C81,Calc_Area!$H$312:$H$336,1 )),0)</f>
        <v>0</v>
      </c>
      <c r="F81" s="9">
        <f t="shared" ca="1" si="0"/>
        <v>1</v>
      </c>
    </row>
    <row r="82" spans="2:6" s="6" customFormat="1" x14ac:dyDescent="0.25">
      <c r="B82" s="6">
        <v>49</v>
      </c>
      <c r="C82" s="28">
        <f t="shared" ca="1" si="1"/>
        <v>0.710656349776982</v>
      </c>
      <c r="D82" s="29">
        <f ca="1">IF(ISNA(INDEX(Calc_Area!$E$312:$E$336, MATCH(C82,Calc_Area!$H$312:$H$336,1 )))=FALSE,INDEX(Calc_Area!$E$312:$E$336, MATCH(C82,Calc_Area!$H$312:$H$336,1 )),0)</f>
        <v>2</v>
      </c>
      <c r="F82" s="9">
        <f t="shared" ca="1" si="0"/>
        <v>1</v>
      </c>
    </row>
    <row r="83" spans="2:6" s="6" customFormat="1" x14ac:dyDescent="0.25">
      <c r="B83" s="6">
        <v>50</v>
      </c>
      <c r="C83" s="28">
        <f t="shared" ca="1" si="1"/>
        <v>0.90215139927860744</v>
      </c>
      <c r="D83" s="29">
        <f ca="1">IF(ISNA(INDEX(Calc_Area!$E$312:$E$336, MATCH(C83,Calc_Area!$H$312:$H$336,1 )))=FALSE,INDEX(Calc_Area!$E$312:$E$336, MATCH(C83,Calc_Area!$H$312:$H$336,1 )),0)</f>
        <v>3</v>
      </c>
      <c r="F83" s="9">
        <f t="shared" ca="1" si="0"/>
        <v>0</v>
      </c>
    </row>
    <row r="84" spans="2:6" s="6" customFormat="1" x14ac:dyDescent="0.25">
      <c r="B84" s="6">
        <v>51</v>
      </c>
      <c r="C84" s="28">
        <f t="shared" ca="1" si="1"/>
        <v>0.58947214010791782</v>
      </c>
      <c r="D84" s="29">
        <f ca="1">IF(ISNA(INDEX(Calc_Area!$E$312:$E$336, MATCH(C84,Calc_Area!$H$312:$H$336,1 )))=FALSE,INDEX(Calc_Area!$E$312:$E$336, MATCH(C84,Calc_Area!$H$312:$H$336,1 )),0)</f>
        <v>1</v>
      </c>
      <c r="F84" s="9">
        <f t="shared" ca="1" si="0"/>
        <v>1</v>
      </c>
    </row>
    <row r="85" spans="2:6" s="6" customFormat="1" x14ac:dyDescent="0.25">
      <c r="B85" s="6">
        <v>52</v>
      </c>
      <c r="C85" s="28">
        <f t="shared" ca="1" si="1"/>
        <v>0.2093215892291409</v>
      </c>
      <c r="D85" s="29">
        <f ca="1">IF(ISNA(INDEX(Calc_Area!$E$312:$E$336, MATCH(C85,Calc_Area!$H$312:$H$336,1 )))=FALSE,INDEX(Calc_Area!$E$312:$E$336, MATCH(C85,Calc_Area!$H$312:$H$336,1 )),0)</f>
        <v>0</v>
      </c>
      <c r="F85" s="9">
        <f t="shared" ca="1" si="0"/>
        <v>1</v>
      </c>
    </row>
    <row r="86" spans="2:6" s="6" customFormat="1" x14ac:dyDescent="0.25">
      <c r="B86" s="6">
        <v>53</v>
      </c>
      <c r="C86" s="28">
        <f t="shared" ca="1" si="1"/>
        <v>8.860347435340965E-2</v>
      </c>
      <c r="D86" s="29">
        <f ca="1">IF(ISNA(INDEX(Calc_Area!$E$312:$E$336, MATCH(C86,Calc_Area!$H$312:$H$336,1 )))=FALSE,INDEX(Calc_Area!$E$312:$E$336, MATCH(C86,Calc_Area!$H$312:$H$336,1 )),0)</f>
        <v>0</v>
      </c>
      <c r="F86" s="9">
        <f t="shared" ca="1" si="0"/>
        <v>1</v>
      </c>
    </row>
    <row r="87" spans="2:6" s="6" customFormat="1" x14ac:dyDescent="0.25">
      <c r="B87" s="6">
        <v>54</v>
      </c>
      <c r="C87" s="28">
        <f t="shared" ca="1" si="1"/>
        <v>0.97485885691913354</v>
      </c>
      <c r="D87" s="29">
        <f ca="1">IF(ISNA(INDEX(Calc_Area!$E$312:$E$336, MATCH(C87,Calc_Area!$H$312:$H$336,1 )))=FALSE,INDEX(Calc_Area!$E$312:$E$336, MATCH(C87,Calc_Area!$H$312:$H$336,1 )),0)</f>
        <v>4</v>
      </c>
      <c r="F87" s="9">
        <f t="shared" ca="1" si="0"/>
        <v>0</v>
      </c>
    </row>
    <row r="88" spans="2:6" s="6" customFormat="1" x14ac:dyDescent="0.25">
      <c r="B88" s="6">
        <v>55</v>
      </c>
      <c r="C88" s="28">
        <f t="shared" ca="1" si="1"/>
        <v>0.92449001065218661</v>
      </c>
      <c r="D88" s="29">
        <f ca="1">IF(ISNA(INDEX(Calc_Area!$E$312:$E$336, MATCH(C88,Calc_Area!$H$312:$H$336,1 )))=FALSE,INDEX(Calc_Area!$E$312:$E$336, MATCH(C88,Calc_Area!$H$312:$H$336,1 )),0)</f>
        <v>3</v>
      </c>
      <c r="F88" s="9">
        <f t="shared" ca="1" si="0"/>
        <v>0</v>
      </c>
    </row>
    <row r="89" spans="2:6" s="6" customFormat="1" x14ac:dyDescent="0.25">
      <c r="B89" s="6">
        <v>56</v>
      </c>
      <c r="C89" s="28">
        <f t="shared" ca="1" si="1"/>
        <v>0.55748056778577337</v>
      </c>
      <c r="D89" s="29">
        <f ca="1">IF(ISNA(INDEX(Calc_Area!$E$312:$E$336, MATCH(C89,Calc_Area!$H$312:$H$336,1 )))=FALSE,INDEX(Calc_Area!$E$312:$E$336, MATCH(C89,Calc_Area!$H$312:$H$336,1 )),0)</f>
        <v>1</v>
      </c>
      <c r="F89" s="9">
        <f t="shared" ca="1" si="0"/>
        <v>1</v>
      </c>
    </row>
    <row r="90" spans="2:6" s="6" customFormat="1" x14ac:dyDescent="0.25">
      <c r="B90" s="6">
        <v>57</v>
      </c>
      <c r="C90" s="28">
        <f t="shared" ca="1" si="1"/>
        <v>0.98414362042326331</v>
      </c>
      <c r="D90" s="29">
        <f ca="1">IF(ISNA(INDEX(Calc_Area!$E$312:$E$336, MATCH(C90,Calc_Area!$H$312:$H$336,1 )))=FALSE,INDEX(Calc_Area!$E$312:$E$336, MATCH(C90,Calc_Area!$H$312:$H$336,1 )),0)</f>
        <v>5</v>
      </c>
      <c r="F90" s="9">
        <f t="shared" ca="1" si="0"/>
        <v>0</v>
      </c>
    </row>
    <row r="91" spans="2:6" s="6" customFormat="1" x14ac:dyDescent="0.25">
      <c r="B91" s="6">
        <v>58</v>
      </c>
      <c r="C91" s="28">
        <f t="shared" ca="1" si="1"/>
        <v>0.55376426642320342</v>
      </c>
      <c r="D91" s="29">
        <f ca="1">IF(ISNA(INDEX(Calc_Area!$E$312:$E$336, MATCH(C91,Calc_Area!$H$312:$H$336,1 )))=FALSE,INDEX(Calc_Area!$E$312:$E$336, MATCH(C91,Calc_Area!$H$312:$H$336,1 )),0)</f>
        <v>1</v>
      </c>
      <c r="F91" s="9">
        <f t="shared" ca="1" si="0"/>
        <v>1</v>
      </c>
    </row>
    <row r="92" spans="2:6" s="6" customFormat="1" x14ac:dyDescent="0.25">
      <c r="B92" s="6">
        <v>59</v>
      </c>
      <c r="C92" s="28">
        <f t="shared" ca="1" si="1"/>
        <v>0.2271029323576319</v>
      </c>
      <c r="D92" s="29">
        <f ca="1">IF(ISNA(INDEX(Calc_Area!$E$312:$E$336, MATCH(C92,Calc_Area!$H$312:$H$336,1 )))=FALSE,INDEX(Calc_Area!$E$312:$E$336, MATCH(C92,Calc_Area!$H$312:$H$336,1 )),0)</f>
        <v>0</v>
      </c>
      <c r="F92" s="9">
        <f t="shared" ca="1" si="0"/>
        <v>1</v>
      </c>
    </row>
    <row r="93" spans="2:6" s="6" customFormat="1" x14ac:dyDescent="0.25">
      <c r="B93" s="6">
        <v>60</v>
      </c>
      <c r="C93" s="28">
        <f t="shared" ca="1" si="1"/>
        <v>0.95848694282887581</v>
      </c>
      <c r="D93" s="29">
        <f ca="1">IF(ISNA(INDEX(Calc_Area!$E$312:$E$336, MATCH(C93,Calc_Area!$H$312:$H$336,1 )))=FALSE,INDEX(Calc_Area!$E$312:$E$336, MATCH(C93,Calc_Area!$H$312:$H$336,1 )),0)</f>
        <v>4</v>
      </c>
      <c r="F93" s="9">
        <f t="shared" ca="1" si="0"/>
        <v>0</v>
      </c>
    </row>
    <row r="94" spans="2:6" s="6" customFormat="1" x14ac:dyDescent="0.25">
      <c r="B94" s="6">
        <v>61</v>
      </c>
      <c r="C94" s="28">
        <f t="shared" ca="1" si="1"/>
        <v>0.41150646804534086</v>
      </c>
      <c r="D94" s="29">
        <f ca="1">IF(ISNA(INDEX(Calc_Area!$E$312:$E$336, MATCH(C94,Calc_Area!$H$312:$H$336,1 )))=FALSE,INDEX(Calc_Area!$E$312:$E$336, MATCH(C94,Calc_Area!$H$312:$H$336,1 )),0)</f>
        <v>1</v>
      </c>
      <c r="F94" s="9">
        <f t="shared" ca="1" si="0"/>
        <v>1</v>
      </c>
    </row>
    <row r="95" spans="2:6" s="6" customFormat="1" x14ac:dyDescent="0.25">
      <c r="B95" s="6">
        <v>62</v>
      </c>
      <c r="C95" s="28">
        <f t="shared" ca="1" si="1"/>
        <v>0.13859961547902577</v>
      </c>
      <c r="D95" s="29">
        <f ca="1">IF(ISNA(INDEX(Calc_Area!$E$312:$E$336, MATCH(C95,Calc_Area!$H$312:$H$336,1 )))=FALSE,INDEX(Calc_Area!$E$312:$E$336, MATCH(C95,Calc_Area!$H$312:$H$336,1 )),0)</f>
        <v>0</v>
      </c>
      <c r="F95" s="9">
        <f t="shared" ca="1" si="0"/>
        <v>1</v>
      </c>
    </row>
    <row r="96" spans="2:6" s="6" customFormat="1" x14ac:dyDescent="0.25">
      <c r="B96" s="6">
        <v>63</v>
      </c>
      <c r="C96" s="28">
        <f t="shared" ca="1" si="1"/>
        <v>0.23368245893907602</v>
      </c>
      <c r="D96" s="29">
        <f ca="1">IF(ISNA(INDEX(Calc_Area!$E$312:$E$336, MATCH(C96,Calc_Area!$H$312:$H$336,1 )))=FALSE,INDEX(Calc_Area!$E$312:$E$336, MATCH(C96,Calc_Area!$H$312:$H$336,1 )),0)</f>
        <v>0</v>
      </c>
      <c r="F96" s="9">
        <f t="shared" ca="1" si="0"/>
        <v>1</v>
      </c>
    </row>
    <row r="97" spans="2:6" s="6" customFormat="1" x14ac:dyDescent="0.25">
      <c r="B97" s="6">
        <v>64</v>
      </c>
      <c r="C97" s="28">
        <f t="shared" ca="1" si="1"/>
        <v>0.37731199384723868</v>
      </c>
      <c r="D97" s="29">
        <f ca="1">IF(ISNA(INDEX(Calc_Area!$E$312:$E$336, MATCH(C97,Calc_Area!$H$312:$H$336,1 )))=FALSE,INDEX(Calc_Area!$E$312:$E$336, MATCH(C97,Calc_Area!$H$312:$H$336,1 )),0)</f>
        <v>0</v>
      </c>
      <c r="F97" s="9">
        <f t="shared" ca="1" si="0"/>
        <v>1</v>
      </c>
    </row>
    <row r="98" spans="2:6" s="6" customFormat="1" x14ac:dyDescent="0.25">
      <c r="B98" s="6">
        <v>65</v>
      </c>
      <c r="C98" s="28">
        <f t="shared" ca="1" si="1"/>
        <v>0.47501219262659744</v>
      </c>
      <c r="D98" s="29">
        <f ca="1">IF(ISNA(INDEX(Calc_Area!$E$312:$E$336, MATCH(C98,Calc_Area!$H$312:$H$336,1 )))=FALSE,INDEX(Calc_Area!$E$312:$E$336, MATCH(C98,Calc_Area!$H$312:$H$336,1 )),0)</f>
        <v>1</v>
      </c>
      <c r="F98" s="9">
        <f t="shared" ca="1" si="0"/>
        <v>1</v>
      </c>
    </row>
    <row r="99" spans="2:6" s="6" customFormat="1" x14ac:dyDescent="0.25">
      <c r="B99" s="6">
        <v>66</v>
      </c>
      <c r="C99" s="28">
        <f t="shared" ca="1" si="1"/>
        <v>0.53121578675347236</v>
      </c>
      <c r="D99" s="29">
        <f ca="1">IF(ISNA(INDEX(Calc_Area!$E$312:$E$336, MATCH(C99,Calc_Area!$H$312:$H$336,1 )))=FALSE,INDEX(Calc_Area!$E$312:$E$336, MATCH(C99,Calc_Area!$H$312:$H$336,1 )),0)</f>
        <v>1</v>
      </c>
      <c r="F99" s="9">
        <f t="shared" ref="F99:F133" ca="1" si="2">IF(D99&gt;$D$13,0,1)</f>
        <v>1</v>
      </c>
    </row>
    <row r="100" spans="2:6" s="6" customFormat="1" x14ac:dyDescent="0.25">
      <c r="B100" s="6">
        <v>67</v>
      </c>
      <c r="C100" s="28">
        <f t="shared" ref="C100:C133" ca="1" si="3">RAND()</f>
        <v>0.72331758146611014</v>
      </c>
      <c r="D100" s="29">
        <f ca="1">IF(ISNA(INDEX(Calc_Area!$E$312:$E$336, MATCH(C100,Calc_Area!$H$312:$H$336,1 )))=FALSE,INDEX(Calc_Area!$E$312:$E$336, MATCH(C100,Calc_Area!$H$312:$H$336,1 )),0)</f>
        <v>2</v>
      </c>
      <c r="F100" s="9">
        <f t="shared" ca="1" si="2"/>
        <v>1</v>
      </c>
    </row>
    <row r="101" spans="2:6" s="6" customFormat="1" x14ac:dyDescent="0.25">
      <c r="B101" s="6">
        <v>68</v>
      </c>
      <c r="C101" s="28">
        <f t="shared" ca="1" si="3"/>
        <v>0.77007705676419536</v>
      </c>
      <c r="D101" s="29">
        <f ca="1">IF(ISNA(INDEX(Calc_Area!$E$312:$E$336, MATCH(C101,Calc_Area!$H$312:$H$336,1 )))=FALSE,INDEX(Calc_Area!$E$312:$E$336, MATCH(C101,Calc_Area!$H$312:$H$336,1 )),0)</f>
        <v>2</v>
      </c>
      <c r="F101" s="9">
        <f t="shared" ca="1" si="2"/>
        <v>1</v>
      </c>
    </row>
    <row r="102" spans="2:6" s="6" customFormat="1" x14ac:dyDescent="0.25">
      <c r="B102" s="6">
        <v>69</v>
      </c>
      <c r="C102" s="28">
        <f t="shared" ca="1" si="3"/>
        <v>0.83566827151788725</v>
      </c>
      <c r="D102" s="29">
        <f ca="1">IF(ISNA(INDEX(Calc_Area!$E$312:$E$336, MATCH(C102,Calc_Area!$H$312:$H$336,1 )))=FALSE,INDEX(Calc_Area!$E$312:$E$336, MATCH(C102,Calc_Area!$H$312:$H$336,1 )),0)</f>
        <v>2</v>
      </c>
      <c r="F102" s="9">
        <f t="shared" ca="1" si="2"/>
        <v>1</v>
      </c>
    </row>
    <row r="103" spans="2:6" s="6" customFormat="1" x14ac:dyDescent="0.25">
      <c r="B103" s="6">
        <v>70</v>
      </c>
      <c r="C103" s="28">
        <f t="shared" ca="1" si="3"/>
        <v>0.52390580123490105</v>
      </c>
      <c r="D103" s="29">
        <f ca="1">IF(ISNA(INDEX(Calc_Area!$E$312:$E$336, MATCH(C103,Calc_Area!$H$312:$H$336,1 )))=FALSE,INDEX(Calc_Area!$E$312:$E$336, MATCH(C103,Calc_Area!$H$312:$H$336,1 )),0)</f>
        <v>1</v>
      </c>
      <c r="F103" s="9">
        <f t="shared" ca="1" si="2"/>
        <v>1</v>
      </c>
    </row>
    <row r="104" spans="2:6" s="6" customFormat="1" x14ac:dyDescent="0.25">
      <c r="B104" s="6">
        <v>71</v>
      </c>
      <c r="C104" s="28">
        <f t="shared" ca="1" si="3"/>
        <v>0.81561549337112416</v>
      </c>
      <c r="D104" s="29">
        <f ca="1">IF(ISNA(INDEX(Calc_Area!$E$312:$E$336, MATCH(C104,Calc_Area!$H$312:$H$336,1 )))=FALSE,INDEX(Calc_Area!$E$312:$E$336, MATCH(C104,Calc_Area!$H$312:$H$336,1 )),0)</f>
        <v>2</v>
      </c>
      <c r="F104" s="9">
        <f t="shared" ca="1" si="2"/>
        <v>1</v>
      </c>
    </row>
    <row r="105" spans="2:6" s="6" customFormat="1" x14ac:dyDescent="0.25">
      <c r="B105" s="6">
        <v>72</v>
      </c>
      <c r="C105" s="28">
        <f t="shared" ca="1" si="3"/>
        <v>0.34388037148352346</v>
      </c>
      <c r="D105" s="29">
        <f ca="1">IF(ISNA(INDEX(Calc_Area!$E$312:$E$336, MATCH(C105,Calc_Area!$H$312:$H$336,1 )))=FALSE,INDEX(Calc_Area!$E$312:$E$336, MATCH(C105,Calc_Area!$H$312:$H$336,1 )),0)</f>
        <v>0</v>
      </c>
      <c r="F105" s="9">
        <f t="shared" ca="1" si="2"/>
        <v>1</v>
      </c>
    </row>
    <row r="106" spans="2:6" s="6" customFormat="1" x14ac:dyDescent="0.25">
      <c r="B106" s="6">
        <v>73</v>
      </c>
      <c r="C106" s="28">
        <f t="shared" ca="1" si="3"/>
        <v>1.7616162145937531E-2</v>
      </c>
      <c r="D106" s="29">
        <f ca="1">IF(ISNA(INDEX(Calc_Area!$E$312:$E$336, MATCH(C106,Calc_Area!$H$312:$H$336,1 )))=FALSE,INDEX(Calc_Area!$E$312:$E$336, MATCH(C106,Calc_Area!$H$312:$H$336,1 )),0)</f>
        <v>0</v>
      </c>
      <c r="F106" s="9">
        <f t="shared" ca="1" si="2"/>
        <v>1</v>
      </c>
    </row>
    <row r="107" spans="2:6" s="6" customFormat="1" x14ac:dyDescent="0.25">
      <c r="B107" s="6">
        <v>74</v>
      </c>
      <c r="C107" s="28">
        <f t="shared" ca="1" si="3"/>
        <v>0.53198090438601586</v>
      </c>
      <c r="D107" s="29">
        <f ca="1">IF(ISNA(INDEX(Calc_Area!$E$312:$E$336, MATCH(C107,Calc_Area!$H$312:$H$336,1 )))=FALSE,INDEX(Calc_Area!$E$312:$E$336, MATCH(C107,Calc_Area!$H$312:$H$336,1 )),0)</f>
        <v>1</v>
      </c>
      <c r="F107" s="9">
        <f t="shared" ca="1" si="2"/>
        <v>1</v>
      </c>
    </row>
    <row r="108" spans="2:6" s="6" customFormat="1" x14ac:dyDescent="0.25">
      <c r="B108" s="6">
        <v>75</v>
      </c>
      <c r="C108" s="28">
        <f t="shared" ca="1" si="3"/>
        <v>0.59990392893062561</v>
      </c>
      <c r="D108" s="29">
        <f ca="1">IF(ISNA(INDEX(Calc_Area!$E$312:$E$336, MATCH(C108,Calc_Area!$H$312:$H$336,1 )))=FALSE,INDEX(Calc_Area!$E$312:$E$336, MATCH(C108,Calc_Area!$H$312:$H$336,1 )),0)</f>
        <v>1</v>
      </c>
      <c r="F108" s="9">
        <f t="shared" ca="1" si="2"/>
        <v>1</v>
      </c>
    </row>
    <row r="109" spans="2:6" s="6" customFormat="1" x14ac:dyDescent="0.25">
      <c r="B109" s="6">
        <v>76</v>
      </c>
      <c r="C109" s="28">
        <f t="shared" ca="1" si="3"/>
        <v>0.96485254854157121</v>
      </c>
      <c r="D109" s="29">
        <f ca="1">IF(ISNA(INDEX(Calc_Area!$E$312:$E$336, MATCH(C109,Calc_Area!$H$312:$H$336,1 )))=FALSE,INDEX(Calc_Area!$E$312:$E$336, MATCH(C109,Calc_Area!$H$312:$H$336,1 )),0)</f>
        <v>4</v>
      </c>
      <c r="F109" s="9">
        <f t="shared" ca="1" si="2"/>
        <v>0</v>
      </c>
    </row>
    <row r="110" spans="2:6" s="6" customFormat="1" x14ac:dyDescent="0.25">
      <c r="B110" s="6">
        <v>77</v>
      </c>
      <c r="C110" s="28">
        <f t="shared" ca="1" si="3"/>
        <v>0.44910514305439964</v>
      </c>
      <c r="D110" s="29">
        <f ca="1">IF(ISNA(INDEX(Calc_Area!$E$312:$E$336, MATCH(C110,Calc_Area!$H$312:$H$336,1 )))=FALSE,INDEX(Calc_Area!$E$312:$E$336, MATCH(C110,Calc_Area!$H$312:$H$336,1 )),0)</f>
        <v>1</v>
      </c>
      <c r="F110" s="9">
        <f t="shared" ca="1" si="2"/>
        <v>1</v>
      </c>
    </row>
    <row r="111" spans="2:6" s="6" customFormat="1" x14ac:dyDescent="0.25">
      <c r="B111" s="6">
        <v>78</v>
      </c>
      <c r="C111" s="28">
        <f t="shared" ca="1" si="3"/>
        <v>3.7385733074457583E-2</v>
      </c>
      <c r="D111" s="29">
        <f ca="1">IF(ISNA(INDEX(Calc_Area!$E$312:$E$336, MATCH(C111,Calc_Area!$H$312:$H$336,1 )))=FALSE,INDEX(Calc_Area!$E$312:$E$336, MATCH(C111,Calc_Area!$H$312:$H$336,1 )),0)</f>
        <v>0</v>
      </c>
      <c r="F111" s="9">
        <f t="shared" ca="1" si="2"/>
        <v>1</v>
      </c>
    </row>
    <row r="112" spans="2:6" s="6" customFormat="1" x14ac:dyDescent="0.25">
      <c r="B112" s="6">
        <v>79</v>
      </c>
      <c r="C112" s="28">
        <f t="shared" ca="1" si="3"/>
        <v>0.37146114327966195</v>
      </c>
      <c r="D112" s="29">
        <f ca="1">IF(ISNA(INDEX(Calc_Area!$E$312:$E$336, MATCH(C112,Calc_Area!$H$312:$H$336,1 )))=FALSE,INDEX(Calc_Area!$E$312:$E$336, MATCH(C112,Calc_Area!$H$312:$H$336,1 )),0)</f>
        <v>0</v>
      </c>
      <c r="F112" s="9">
        <f t="shared" ca="1" si="2"/>
        <v>1</v>
      </c>
    </row>
    <row r="113" spans="2:6" s="6" customFormat="1" x14ac:dyDescent="0.25">
      <c r="B113" s="6">
        <v>80</v>
      </c>
      <c r="C113" s="28">
        <f t="shared" ca="1" si="3"/>
        <v>0.8971667971025713</v>
      </c>
      <c r="D113" s="29">
        <f ca="1">IF(ISNA(INDEX(Calc_Area!$E$312:$E$336, MATCH(C113,Calc_Area!$H$312:$H$336,1 )))=FALSE,INDEX(Calc_Area!$E$312:$E$336, MATCH(C113,Calc_Area!$H$312:$H$336,1 )),0)</f>
        <v>3</v>
      </c>
      <c r="F113" s="9">
        <f t="shared" ca="1" si="2"/>
        <v>0</v>
      </c>
    </row>
    <row r="114" spans="2:6" s="6" customFormat="1" x14ac:dyDescent="0.25">
      <c r="B114" s="6">
        <v>81</v>
      </c>
      <c r="C114" s="28">
        <f t="shared" ca="1" si="3"/>
        <v>0.21362038919997373</v>
      </c>
      <c r="D114" s="29">
        <f ca="1">IF(ISNA(INDEX(Calc_Area!$E$312:$E$336, MATCH(C114,Calc_Area!$H$312:$H$336,1 )))=FALSE,INDEX(Calc_Area!$E$312:$E$336, MATCH(C114,Calc_Area!$H$312:$H$336,1 )),0)</f>
        <v>0</v>
      </c>
      <c r="F114" s="9">
        <f t="shared" ca="1" si="2"/>
        <v>1</v>
      </c>
    </row>
    <row r="115" spans="2:6" s="6" customFormat="1" x14ac:dyDescent="0.25">
      <c r="B115" s="6">
        <v>82</v>
      </c>
      <c r="C115" s="28">
        <f t="shared" ca="1" si="3"/>
        <v>0.40379323488868701</v>
      </c>
      <c r="D115" s="29">
        <f ca="1">IF(ISNA(INDEX(Calc_Area!$E$312:$E$336, MATCH(C115,Calc_Area!$H$312:$H$336,1 )))=FALSE,INDEX(Calc_Area!$E$312:$E$336, MATCH(C115,Calc_Area!$H$312:$H$336,1 )),0)</f>
        <v>0</v>
      </c>
      <c r="F115" s="9">
        <f t="shared" ca="1" si="2"/>
        <v>1</v>
      </c>
    </row>
    <row r="116" spans="2:6" s="6" customFormat="1" x14ac:dyDescent="0.25">
      <c r="B116" s="6">
        <v>83</v>
      </c>
      <c r="C116" s="28">
        <f t="shared" ca="1" si="3"/>
        <v>0.46436997576659311</v>
      </c>
      <c r="D116" s="29">
        <f ca="1">IF(ISNA(INDEX(Calc_Area!$E$312:$E$336, MATCH(C116,Calc_Area!$H$312:$H$336,1 )))=FALSE,INDEX(Calc_Area!$E$312:$E$336, MATCH(C116,Calc_Area!$H$312:$H$336,1 )),0)</f>
        <v>1</v>
      </c>
      <c r="F116" s="9">
        <f t="shared" ca="1" si="2"/>
        <v>1</v>
      </c>
    </row>
    <row r="117" spans="2:6" s="6" customFormat="1" x14ac:dyDescent="0.25">
      <c r="B117" s="6">
        <v>84</v>
      </c>
      <c r="C117" s="28">
        <f t="shared" ca="1" si="3"/>
        <v>0.2043806343327722</v>
      </c>
      <c r="D117" s="29">
        <f ca="1">IF(ISNA(INDEX(Calc_Area!$E$312:$E$336, MATCH(C117,Calc_Area!$H$312:$H$336,1 )))=FALSE,INDEX(Calc_Area!$E$312:$E$336, MATCH(C117,Calc_Area!$H$312:$H$336,1 )),0)</f>
        <v>0</v>
      </c>
      <c r="F117" s="9">
        <f t="shared" ca="1" si="2"/>
        <v>1</v>
      </c>
    </row>
    <row r="118" spans="2:6" s="6" customFormat="1" x14ac:dyDescent="0.25">
      <c r="B118" s="6">
        <v>85</v>
      </c>
      <c r="C118" s="28">
        <f t="shared" ca="1" si="3"/>
        <v>0.43052079300889234</v>
      </c>
      <c r="D118" s="29">
        <f ca="1">IF(ISNA(INDEX(Calc_Area!$E$312:$E$336, MATCH(C118,Calc_Area!$H$312:$H$336,1 )))=FALSE,INDEX(Calc_Area!$E$312:$E$336, MATCH(C118,Calc_Area!$H$312:$H$336,1 )),0)</f>
        <v>1</v>
      </c>
      <c r="F118" s="9">
        <f t="shared" ca="1" si="2"/>
        <v>1</v>
      </c>
    </row>
    <row r="119" spans="2:6" s="6" customFormat="1" x14ac:dyDescent="0.25">
      <c r="B119" s="6">
        <v>86</v>
      </c>
      <c r="C119" s="28">
        <f t="shared" ca="1" si="3"/>
        <v>0.88696509942721047</v>
      </c>
      <c r="D119" s="29">
        <f ca="1">IF(ISNA(INDEX(Calc_Area!$E$312:$E$336, MATCH(C119,Calc_Area!$H$312:$H$336,1 )))=FALSE,INDEX(Calc_Area!$E$312:$E$336, MATCH(C119,Calc_Area!$H$312:$H$336,1 )),0)</f>
        <v>3</v>
      </c>
      <c r="F119" s="9">
        <f t="shared" ca="1" si="2"/>
        <v>0</v>
      </c>
    </row>
    <row r="120" spans="2:6" s="6" customFormat="1" x14ac:dyDescent="0.25">
      <c r="B120" s="6">
        <v>87</v>
      </c>
      <c r="C120" s="28">
        <f t="shared" ca="1" si="3"/>
        <v>0.92260746010874195</v>
      </c>
      <c r="D120" s="29">
        <f ca="1">IF(ISNA(INDEX(Calc_Area!$E$312:$E$336, MATCH(C120,Calc_Area!$H$312:$H$336,1 )))=FALSE,INDEX(Calc_Area!$E$312:$E$336, MATCH(C120,Calc_Area!$H$312:$H$336,1 )),0)</f>
        <v>3</v>
      </c>
      <c r="F120" s="9">
        <f t="shared" ca="1" si="2"/>
        <v>0</v>
      </c>
    </row>
    <row r="121" spans="2:6" s="6" customFormat="1" x14ac:dyDescent="0.25">
      <c r="B121" s="6">
        <v>88</v>
      </c>
      <c r="C121" s="28">
        <f t="shared" ca="1" si="3"/>
        <v>0.58293017293824401</v>
      </c>
      <c r="D121" s="29">
        <f ca="1">IF(ISNA(INDEX(Calc_Area!$E$312:$E$336, MATCH(C121,Calc_Area!$H$312:$H$336,1 )))=FALSE,INDEX(Calc_Area!$E$312:$E$336, MATCH(C121,Calc_Area!$H$312:$H$336,1 )),0)</f>
        <v>1</v>
      </c>
      <c r="F121" s="9">
        <f t="shared" ca="1" si="2"/>
        <v>1</v>
      </c>
    </row>
    <row r="122" spans="2:6" s="6" customFormat="1" x14ac:dyDescent="0.25">
      <c r="B122" s="6">
        <v>89</v>
      </c>
      <c r="C122" s="28">
        <f t="shared" ca="1" si="3"/>
        <v>7.2339519860490809E-2</v>
      </c>
      <c r="D122" s="29">
        <f ca="1">IF(ISNA(INDEX(Calc_Area!$E$312:$E$336, MATCH(C122,Calc_Area!$H$312:$H$336,1 )))=FALSE,INDEX(Calc_Area!$E$312:$E$336, MATCH(C122,Calc_Area!$H$312:$H$336,1 )),0)</f>
        <v>0</v>
      </c>
      <c r="F122" s="9">
        <f t="shared" ca="1" si="2"/>
        <v>1</v>
      </c>
    </row>
    <row r="123" spans="2:6" s="6" customFormat="1" x14ac:dyDescent="0.25">
      <c r="B123" s="6">
        <v>90</v>
      </c>
      <c r="C123" s="28">
        <f t="shared" ca="1" si="3"/>
        <v>0.26496237425141878</v>
      </c>
      <c r="D123" s="29">
        <f ca="1">IF(ISNA(INDEX(Calc_Area!$E$312:$E$336, MATCH(C123,Calc_Area!$H$312:$H$336,1 )))=FALSE,INDEX(Calc_Area!$E$312:$E$336, MATCH(C123,Calc_Area!$H$312:$H$336,1 )),0)</f>
        <v>0</v>
      </c>
      <c r="F123" s="9">
        <f t="shared" ca="1" si="2"/>
        <v>1</v>
      </c>
    </row>
    <row r="124" spans="2:6" s="6" customFormat="1" x14ac:dyDescent="0.25">
      <c r="B124" s="6">
        <v>91</v>
      </c>
      <c r="C124" s="28">
        <f t="shared" ca="1" si="3"/>
        <v>0.72622020692270739</v>
      </c>
      <c r="D124" s="29">
        <f ca="1">IF(ISNA(INDEX(Calc_Area!$E$312:$E$336, MATCH(C124,Calc_Area!$H$312:$H$336,1 )))=FALSE,INDEX(Calc_Area!$E$312:$E$336, MATCH(C124,Calc_Area!$H$312:$H$336,1 )),0)</f>
        <v>2</v>
      </c>
      <c r="F124" s="9">
        <f t="shared" ca="1" si="2"/>
        <v>1</v>
      </c>
    </row>
    <row r="125" spans="2:6" s="6" customFormat="1" x14ac:dyDescent="0.25">
      <c r="B125" s="6">
        <v>92</v>
      </c>
      <c r="C125" s="28">
        <f t="shared" ca="1" si="3"/>
        <v>0.67731134111335822</v>
      </c>
      <c r="D125" s="29">
        <f ca="1">IF(ISNA(INDEX(Calc_Area!$E$312:$E$336, MATCH(C125,Calc_Area!$H$312:$H$336,1 )))=FALSE,INDEX(Calc_Area!$E$312:$E$336, MATCH(C125,Calc_Area!$H$312:$H$336,1 )),0)</f>
        <v>2</v>
      </c>
      <c r="F125" s="9">
        <f t="shared" ca="1" si="2"/>
        <v>1</v>
      </c>
    </row>
    <row r="126" spans="2:6" s="6" customFormat="1" x14ac:dyDescent="0.25">
      <c r="B126" s="6">
        <v>93</v>
      </c>
      <c r="C126" s="28">
        <f t="shared" ca="1" si="3"/>
        <v>0.87735558891892851</v>
      </c>
      <c r="D126" s="29">
        <f ca="1">IF(ISNA(INDEX(Calc_Area!$E$312:$E$336, MATCH(C126,Calc_Area!$H$312:$H$336,1 )))=FALSE,INDEX(Calc_Area!$E$312:$E$336, MATCH(C126,Calc_Area!$H$312:$H$336,1 )),0)</f>
        <v>3</v>
      </c>
      <c r="F126" s="9">
        <f t="shared" ca="1" si="2"/>
        <v>0</v>
      </c>
    </row>
    <row r="127" spans="2:6" s="6" customFormat="1" x14ac:dyDescent="0.25">
      <c r="B127" s="6">
        <v>94</v>
      </c>
      <c r="C127" s="28">
        <f t="shared" ca="1" si="3"/>
        <v>0.88456409155681504</v>
      </c>
      <c r="D127" s="29">
        <f ca="1">IF(ISNA(INDEX(Calc_Area!$E$312:$E$336, MATCH(C127,Calc_Area!$H$312:$H$336,1 )))=FALSE,INDEX(Calc_Area!$E$312:$E$336, MATCH(C127,Calc_Area!$H$312:$H$336,1 )),0)</f>
        <v>3</v>
      </c>
      <c r="F127" s="9">
        <f t="shared" ca="1" si="2"/>
        <v>0</v>
      </c>
    </row>
    <row r="128" spans="2:6" s="6" customFormat="1" x14ac:dyDescent="0.25">
      <c r="B128" s="6">
        <v>95</v>
      </c>
      <c r="C128" s="28">
        <f t="shared" ca="1" si="3"/>
        <v>0.37490005431604856</v>
      </c>
      <c r="D128" s="29">
        <f ca="1">IF(ISNA(INDEX(Calc_Area!$E$312:$E$336, MATCH(C128,Calc_Area!$H$312:$H$336,1 )))=FALSE,INDEX(Calc_Area!$E$312:$E$336, MATCH(C128,Calc_Area!$H$312:$H$336,1 )),0)</f>
        <v>0</v>
      </c>
      <c r="F128" s="9">
        <f t="shared" ca="1" si="2"/>
        <v>1</v>
      </c>
    </row>
    <row r="129" spans="2:6" s="6" customFormat="1" x14ac:dyDescent="0.25">
      <c r="B129" s="6">
        <v>96</v>
      </c>
      <c r="C129" s="28">
        <f t="shared" ca="1" si="3"/>
        <v>0.62885396398233595</v>
      </c>
      <c r="D129" s="29">
        <f ca="1">IF(ISNA(INDEX(Calc_Area!$E$312:$E$336, MATCH(C129,Calc_Area!$H$312:$H$336,1 )))=FALSE,INDEX(Calc_Area!$E$312:$E$336, MATCH(C129,Calc_Area!$H$312:$H$336,1 )),0)</f>
        <v>1</v>
      </c>
      <c r="F129" s="9">
        <f t="shared" ca="1" si="2"/>
        <v>1</v>
      </c>
    </row>
    <row r="130" spans="2:6" s="6" customFormat="1" x14ac:dyDescent="0.25">
      <c r="B130" s="6">
        <v>97</v>
      </c>
      <c r="C130" s="28">
        <f t="shared" ca="1" si="3"/>
        <v>0.70362863867526126</v>
      </c>
      <c r="D130" s="29">
        <f ca="1">IF(ISNA(INDEX(Calc_Area!$E$312:$E$336, MATCH(C130,Calc_Area!$H$312:$H$336,1 )))=FALSE,INDEX(Calc_Area!$E$312:$E$336, MATCH(C130,Calc_Area!$H$312:$H$336,1 )),0)</f>
        <v>2</v>
      </c>
      <c r="F130" s="9">
        <f t="shared" ca="1" si="2"/>
        <v>1</v>
      </c>
    </row>
    <row r="131" spans="2:6" s="6" customFormat="1" x14ac:dyDescent="0.25">
      <c r="B131" s="6">
        <v>98</v>
      </c>
      <c r="C131" s="28">
        <f t="shared" ca="1" si="3"/>
        <v>0.21562425002899821</v>
      </c>
      <c r="D131" s="29">
        <f ca="1">IF(ISNA(INDEX(Calc_Area!$E$312:$E$336, MATCH(C131,Calc_Area!$H$312:$H$336,1 )))=FALSE,INDEX(Calc_Area!$E$312:$E$336, MATCH(C131,Calc_Area!$H$312:$H$336,1 )),0)</f>
        <v>0</v>
      </c>
      <c r="F131" s="9">
        <f t="shared" ca="1" si="2"/>
        <v>1</v>
      </c>
    </row>
    <row r="132" spans="2:6" s="6" customFormat="1" x14ac:dyDescent="0.25">
      <c r="B132" s="6">
        <v>99</v>
      </c>
      <c r="C132" s="28">
        <f t="shared" ca="1" si="3"/>
        <v>0.96522652374333495</v>
      </c>
      <c r="D132" s="29">
        <f ca="1">IF(ISNA(INDEX(Calc_Area!$E$312:$E$336, MATCH(C132,Calc_Area!$H$312:$H$336,1 )))=FALSE,INDEX(Calc_Area!$E$312:$E$336, MATCH(C132,Calc_Area!$H$312:$H$336,1 )),0)</f>
        <v>4</v>
      </c>
      <c r="F132" s="9">
        <f t="shared" ca="1" si="2"/>
        <v>0</v>
      </c>
    </row>
    <row r="133" spans="2:6" s="6" customFormat="1" x14ac:dyDescent="0.25">
      <c r="B133" s="6">
        <v>100</v>
      </c>
      <c r="C133" s="28">
        <f t="shared" ca="1" si="3"/>
        <v>0.82967155739680176</v>
      </c>
      <c r="D133" s="29">
        <f ca="1">IF(ISNA(INDEX(Calc_Area!$E$312:$E$336, MATCH(C133,Calc_Area!$H$312:$H$336,1 )))=FALSE,INDEX(Calc_Area!$E$312:$E$336, MATCH(C133,Calc_Area!$H$312:$H$336,1 )),0)</f>
        <v>2</v>
      </c>
      <c r="F133" s="9">
        <f t="shared" ca="1" si="2"/>
        <v>1</v>
      </c>
    </row>
  </sheetData>
  <sheetProtection sheet="1" objects="1" scenarios="1"/>
  <mergeCells count="2">
    <mergeCell ref="G5:G6"/>
    <mergeCell ref="F5:F6"/>
  </mergeCells>
  <hyperlinks>
    <hyperlink ref="G1" r:id="rId1" xr:uid="{00000000-0004-0000-0A00-000000000000}"/>
    <hyperlink ref="H52" r:id="rId2" xr:uid="{00000000-0004-0000-0A00-000001000000}"/>
  </hyperlinks>
  <pageMargins left="0.7" right="0.7" top="0.75" bottom="0.75" header="0.3" footer="0.3"/>
  <pageSetup orientation="portrait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32"/>
  <sheetViews>
    <sheetView zoomScale="90" zoomScaleNormal="90" workbookViewId="0">
      <selection activeCell="P34" sqref="P34"/>
    </sheetView>
  </sheetViews>
  <sheetFormatPr defaultRowHeight="15" x14ac:dyDescent="0.25"/>
  <cols>
    <col min="1" max="1" width="15.140625" customWidth="1"/>
    <col min="2" max="2" width="9.28515625" customWidth="1"/>
    <col min="3" max="3" width="14.7109375" customWidth="1"/>
    <col min="4" max="5" width="16.28515625" customWidth="1"/>
    <col min="6" max="6" width="16.85546875" bestFit="1" customWidth="1"/>
    <col min="7" max="7" width="27" customWidth="1"/>
    <col min="8" max="8" width="24.140625" bestFit="1" customWidth="1"/>
    <col min="9" max="9" width="21.5703125" customWidth="1"/>
    <col min="10" max="10" width="11.42578125" bestFit="1" customWidth="1"/>
  </cols>
  <sheetData>
    <row r="1" spans="1:10" s="7" customFormat="1" ht="26.25" x14ac:dyDescent="0.4">
      <c r="A1" s="7" t="s">
        <v>277</v>
      </c>
      <c r="G1" s="41" t="s">
        <v>279</v>
      </c>
    </row>
    <row r="2" spans="1:10" s="7" customFormat="1" ht="11.25" customHeight="1" x14ac:dyDescent="0.4"/>
    <row r="3" spans="1:10" s="7" customFormat="1" ht="19.5" customHeight="1" x14ac:dyDescent="0.4">
      <c r="C3" s="8" t="s">
        <v>278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280</v>
      </c>
      <c r="C5" s="57">
        <v>0.3</v>
      </c>
      <c r="E5" s="3" t="s">
        <v>56</v>
      </c>
      <c r="F5" s="3" t="s">
        <v>52</v>
      </c>
      <c r="G5" s="45">
        <f>(C6+C5)/2</f>
        <v>0.44999999999999996</v>
      </c>
      <c r="H5" s="3" t="s">
        <v>107</v>
      </c>
      <c r="I5" s="3" t="s">
        <v>280</v>
      </c>
      <c r="J5" s="45">
        <f>C5</f>
        <v>0.3</v>
      </c>
    </row>
    <row r="6" spans="1:10" s="1" customFormat="1" ht="19.5" thickBot="1" x14ac:dyDescent="0.35">
      <c r="A6" s="2"/>
      <c r="B6" s="3" t="s">
        <v>281</v>
      </c>
      <c r="C6" s="57">
        <v>0.6</v>
      </c>
      <c r="F6" s="3" t="s">
        <v>281</v>
      </c>
      <c r="G6" s="45">
        <f>C6</f>
        <v>0.6</v>
      </c>
      <c r="H6" s="63" t="s">
        <v>282</v>
      </c>
      <c r="I6" s="3" t="s">
        <v>281</v>
      </c>
      <c r="J6" s="45">
        <f>C6</f>
        <v>0.6</v>
      </c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31.5" x14ac:dyDescent="0.3">
      <c r="A9" s="4"/>
      <c r="B9" s="5"/>
      <c r="C9" s="14" t="s">
        <v>287</v>
      </c>
      <c r="D9" s="114" t="s">
        <v>293</v>
      </c>
      <c r="E9" s="49" t="s">
        <v>288</v>
      </c>
      <c r="F9" s="14" t="s">
        <v>291</v>
      </c>
      <c r="G9" s="15" t="s">
        <v>292</v>
      </c>
      <c r="H9" s="16" t="s">
        <v>294</v>
      </c>
      <c r="I9" s="16" t="s">
        <v>295</v>
      </c>
    </row>
    <row r="10" spans="1:10" s="6" customFormat="1" ht="10.5" customHeight="1" x14ac:dyDescent="0.25"/>
    <row r="11" spans="1:10" s="19" customFormat="1" ht="19.5" thickBot="1" x14ac:dyDescent="0.35">
      <c r="A11" s="2" t="s">
        <v>283</v>
      </c>
    </row>
    <row r="12" spans="1:10" s="1" customFormat="1" ht="19.5" thickBot="1" x14ac:dyDescent="0.35">
      <c r="C12" s="3" t="s">
        <v>20</v>
      </c>
      <c r="D12" s="57">
        <v>0.3</v>
      </c>
    </row>
    <row r="13" spans="1:10" s="1" customFormat="1" ht="19.5" thickBot="1" x14ac:dyDescent="0.35">
      <c r="C13" s="3" t="s">
        <v>21</v>
      </c>
      <c r="D13" s="92">
        <v>0.5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X ≤ " &amp; D13 &amp;") ="</f>
        <v>Pr(0.3 ≤ X ≤ 0.5) =</v>
      </c>
      <c r="D15" s="46">
        <f>(IF($D$13&gt;$C$6,$C$6,$D$13)-IF($D$12&lt;$C$5,$C$5,$D$12))*(1/($C$6-$C$5))</f>
        <v>0.66666666666666674</v>
      </c>
      <c r="F15" s="61" t="s">
        <v>105</v>
      </c>
    </row>
    <row r="16" spans="1:10" s="1" customFormat="1" ht="15.75" x14ac:dyDescent="0.25">
      <c r="C16" s="20" t="str">
        <f>"Pr(X ≤ "&amp;D12&amp;") ="</f>
        <v>Pr(X ≤ 0.3) =</v>
      </c>
      <c r="D16" s="46">
        <f>((IF($D$12&lt;$C$5,$C$5,$D$12)-$C$5)*(1/($C$6-$C$5)))</f>
        <v>0</v>
      </c>
    </row>
    <row r="17" spans="1:7" s="1" customFormat="1" ht="15.75" x14ac:dyDescent="0.25">
      <c r="C17" s="20" t="str">
        <f>"Pr(X ≤ " &amp; D13 &amp; ") ="</f>
        <v>Pr(X ≤ 0.5) =</v>
      </c>
      <c r="D17" s="46">
        <f>((IF($D$13&gt;$C$6,$C$6,$D$13)-$C$5)*(1/($C$6-$C$5)))</f>
        <v>0.66666666666666674</v>
      </c>
    </row>
    <row r="18" spans="1:7" s="1" customFormat="1" ht="15.75" x14ac:dyDescent="0.25">
      <c r="C18" s="20" t="str">
        <f>"Pr(X ≥ " &amp; D13 &amp;") ="</f>
        <v>Pr(X ≥ 0.5) =</v>
      </c>
      <c r="D18" s="46">
        <f>1-D17</f>
        <v>0.33333333333333326</v>
      </c>
    </row>
    <row r="19" spans="1:7" s="1" customFormat="1" ht="15.75" x14ac:dyDescent="0.25">
      <c r="C19" s="20"/>
      <c r="D19" s="24"/>
    </row>
    <row r="20" spans="1:7" s="1" customFormat="1" ht="15.75" x14ac:dyDescent="0.25">
      <c r="C20" s="20" t="s">
        <v>52</v>
      </c>
      <c r="D20" s="46">
        <f>(C5+C6)/2</f>
        <v>0.44999999999999996</v>
      </c>
    </row>
    <row r="21" spans="1:7" s="1" customFormat="1" ht="15.75" x14ac:dyDescent="0.25">
      <c r="C21" s="20" t="s">
        <v>38</v>
      </c>
      <c r="D21" s="46">
        <f>SQRT(D22)</f>
        <v>8.6602540378443865E-2</v>
      </c>
    </row>
    <row r="22" spans="1:7" s="1" customFormat="1" ht="15.75" x14ac:dyDescent="0.25">
      <c r="C22" s="20" t="s">
        <v>34</v>
      </c>
      <c r="D22" s="46">
        <f>(1/12)*(C6-C5)^2</f>
        <v>7.4999999999999997E-3</v>
      </c>
    </row>
    <row r="23" spans="1:7" s="1" customFormat="1" ht="15.75" x14ac:dyDescent="0.25">
      <c r="C23" s="20"/>
      <c r="D23" s="93"/>
    </row>
    <row r="24" spans="1:7" s="1" customFormat="1" ht="15.75" x14ac:dyDescent="0.25">
      <c r="C24" s="20" t="s">
        <v>35</v>
      </c>
      <c r="D24" s="46">
        <f>$C$5+0.05*($C$6-$C$5)</f>
        <v>0.315</v>
      </c>
    </row>
    <row r="25" spans="1:7" s="1" customFormat="1" ht="15.75" x14ac:dyDescent="0.25">
      <c r="C25" s="20" t="s">
        <v>36</v>
      </c>
      <c r="D25" s="46">
        <f>$C$5+0.5*($C$6-$C$5)</f>
        <v>0.44999999999999996</v>
      </c>
    </row>
    <row r="26" spans="1:7" s="1" customFormat="1" ht="15.75" x14ac:dyDescent="0.25">
      <c r="C26" s="20" t="s">
        <v>37</v>
      </c>
      <c r="D26" s="46">
        <f>$C$5+0.95*($C$6-$C$5)</f>
        <v>0.58499999999999996</v>
      </c>
    </row>
    <row r="27" spans="1:7" s="1" customFormat="1" x14ac:dyDescent="0.25"/>
    <row r="28" spans="1:7" s="6" customFormat="1" ht="18.75" x14ac:dyDescent="0.3">
      <c r="A28" s="4" t="s">
        <v>296</v>
      </c>
    </row>
    <row r="29" spans="1:7" s="6" customFormat="1" ht="18.75" x14ac:dyDescent="0.3">
      <c r="A29" s="4"/>
    </row>
    <row r="30" spans="1:7" s="6" customFormat="1" ht="18.75" x14ac:dyDescent="0.3">
      <c r="A30" s="4"/>
      <c r="C30" s="30" t="s">
        <v>44</v>
      </c>
      <c r="D30" s="32">
        <f ca="1">AVERAGE(D33:D132)</f>
        <v>0.45820277822942596</v>
      </c>
      <c r="F30" s="30" t="s">
        <v>45</v>
      </c>
      <c r="G30" s="32">
        <f ca="1">STDEV(D33:D132)</f>
        <v>8.2922149220694255E-2</v>
      </c>
    </row>
    <row r="31" spans="1:7" s="6" customFormat="1" ht="18.75" x14ac:dyDescent="0.3">
      <c r="A31" s="4"/>
    </row>
    <row r="32" spans="1:7" s="6" customFormat="1" ht="15.75" x14ac:dyDescent="0.25">
      <c r="B32" s="31" t="s">
        <v>41</v>
      </c>
      <c r="C32" s="31" t="s">
        <v>42</v>
      </c>
      <c r="D32" s="31" t="s">
        <v>43</v>
      </c>
      <c r="E32" s="33"/>
      <c r="F32" s="34" t="s">
        <v>46</v>
      </c>
    </row>
    <row r="33" spans="2:7" s="6" customFormat="1" x14ac:dyDescent="0.25">
      <c r="B33" s="6">
        <v>1</v>
      </c>
      <c r="C33" s="28">
        <f ca="1">RAND()</f>
        <v>0.89171157787226019</v>
      </c>
      <c r="D33" s="29">
        <f ca="1">$C$5+C33*($C$6-$C$5)</f>
        <v>0.56751347336167801</v>
      </c>
      <c r="F33" s="9">
        <f ca="1">IF(D33&gt;$D$13,0,1)</f>
        <v>0</v>
      </c>
    </row>
    <row r="34" spans="2:7" s="6" customFormat="1" x14ac:dyDescent="0.25">
      <c r="B34" s="6">
        <v>2</v>
      </c>
      <c r="C34" s="28">
        <f ca="1">RAND()</f>
        <v>0.9001897325398639</v>
      </c>
      <c r="D34" s="29">
        <f t="shared" ref="D34:D97" ca="1" si="0">$C$5+C34*($C$6-$C$5)</f>
        <v>0.57005691976195916</v>
      </c>
      <c r="F34" s="9">
        <f t="shared" ref="F34:F97" ca="1" si="1">IF(D34&gt;$D$13,0,1)</f>
        <v>0</v>
      </c>
      <c r="G34" s="36" t="s">
        <v>47</v>
      </c>
    </row>
    <row r="35" spans="2:7" s="6" customFormat="1" x14ac:dyDescent="0.25">
      <c r="B35" s="6">
        <v>3</v>
      </c>
      <c r="C35" s="28">
        <f t="shared" ref="C35:C98" ca="1" si="2">RAND()</f>
        <v>0.74538177105923165</v>
      </c>
      <c r="D35" s="29">
        <f t="shared" ca="1" si="0"/>
        <v>0.52361453131776947</v>
      </c>
      <c r="F35" s="9">
        <f t="shared" ca="1" si="1"/>
        <v>0</v>
      </c>
      <c r="G35" s="47">
        <f ca="1">SUM(F33:F132)/100</f>
        <v>0.65</v>
      </c>
    </row>
    <row r="36" spans="2:7" s="6" customFormat="1" x14ac:dyDescent="0.25">
      <c r="B36" s="6">
        <v>4</v>
      </c>
      <c r="C36" s="28">
        <f t="shared" ca="1" si="2"/>
        <v>0.73796877914565806</v>
      </c>
      <c r="D36" s="29">
        <f t="shared" ca="1" si="0"/>
        <v>0.52139063374369743</v>
      </c>
      <c r="F36" s="9">
        <f t="shared" ca="1" si="1"/>
        <v>0</v>
      </c>
    </row>
    <row r="37" spans="2:7" s="6" customFormat="1" x14ac:dyDescent="0.25">
      <c r="B37" s="6">
        <v>5</v>
      </c>
      <c r="C37" s="28">
        <f t="shared" ca="1" si="2"/>
        <v>0.93634934284422422</v>
      </c>
      <c r="D37" s="29">
        <f t="shared" ca="1" si="0"/>
        <v>0.58090480285326729</v>
      </c>
      <c r="F37" s="9">
        <f t="shared" ca="1" si="1"/>
        <v>0</v>
      </c>
      <c r="G37" s="36" t="s">
        <v>49</v>
      </c>
    </row>
    <row r="38" spans="2:7" s="6" customFormat="1" x14ac:dyDescent="0.25">
      <c r="B38" s="6">
        <v>6</v>
      </c>
      <c r="C38" s="28">
        <f t="shared" ca="1" si="2"/>
        <v>0.73971955083314667</v>
      </c>
      <c r="D38" s="29">
        <f t="shared" ca="1" si="0"/>
        <v>0.52191586524994404</v>
      </c>
      <c r="F38" s="9">
        <f t="shared" ca="1" si="1"/>
        <v>0</v>
      </c>
      <c r="G38" s="47">
        <f ca="1">PERCENTILE($D$33:$D$132, 0.05)</f>
        <v>0.31630079529780836</v>
      </c>
    </row>
    <row r="39" spans="2:7" s="6" customFormat="1" x14ac:dyDescent="0.25">
      <c r="B39" s="6">
        <v>7</v>
      </c>
      <c r="C39" s="28">
        <f t="shared" ca="1" si="2"/>
        <v>0.51741281106341086</v>
      </c>
      <c r="D39" s="29">
        <f t="shared" ca="1" si="0"/>
        <v>0.45522384331902321</v>
      </c>
      <c r="F39" s="9">
        <f t="shared" ca="1" si="1"/>
        <v>1</v>
      </c>
    </row>
    <row r="40" spans="2:7" s="6" customFormat="1" x14ac:dyDescent="0.25">
      <c r="B40" s="6">
        <v>8</v>
      </c>
      <c r="C40" s="28">
        <f t="shared" ca="1" si="2"/>
        <v>0.50036757195450687</v>
      </c>
      <c r="D40" s="29">
        <f t="shared" ca="1" si="0"/>
        <v>0.45011027158635208</v>
      </c>
      <c r="F40" s="9">
        <f t="shared" ca="1" si="1"/>
        <v>1</v>
      </c>
      <c r="G40" s="36" t="s">
        <v>50</v>
      </c>
    </row>
    <row r="41" spans="2:7" s="6" customFormat="1" x14ac:dyDescent="0.25">
      <c r="B41" s="6">
        <v>9</v>
      </c>
      <c r="C41" s="28">
        <f t="shared" ca="1" si="2"/>
        <v>1.9214850585952514E-2</v>
      </c>
      <c r="D41" s="29">
        <f t="shared" ca="1" si="0"/>
        <v>0.30576445517578577</v>
      </c>
      <c r="F41" s="9">
        <f t="shared" ca="1" si="1"/>
        <v>1</v>
      </c>
      <c r="G41" s="47">
        <f ca="1">PERCENTILE($D$33:$D$132, 0.5)</f>
        <v>0.45411449458325015</v>
      </c>
    </row>
    <row r="42" spans="2:7" s="6" customFormat="1" x14ac:dyDescent="0.25">
      <c r="B42" s="6">
        <v>10</v>
      </c>
      <c r="C42" s="28">
        <f t="shared" ca="1" si="2"/>
        <v>0.36753820858267328</v>
      </c>
      <c r="D42" s="29">
        <f t="shared" ca="1" si="0"/>
        <v>0.41026146257480195</v>
      </c>
      <c r="F42" s="9">
        <f t="shared" ca="1" si="1"/>
        <v>1</v>
      </c>
    </row>
    <row r="43" spans="2:7" s="6" customFormat="1" x14ac:dyDescent="0.25">
      <c r="B43" s="6">
        <v>11</v>
      </c>
      <c r="C43" s="28">
        <f t="shared" ca="1" si="2"/>
        <v>5.4988685361401779E-2</v>
      </c>
      <c r="D43" s="29">
        <f t="shared" ca="1" si="0"/>
        <v>0.31649660560842052</v>
      </c>
      <c r="F43" s="9">
        <f t="shared" ca="1" si="1"/>
        <v>1</v>
      </c>
      <c r="G43" s="36" t="s">
        <v>51</v>
      </c>
    </row>
    <row r="44" spans="2:7" s="6" customFormat="1" x14ac:dyDescent="0.25">
      <c r="B44" s="6">
        <v>12</v>
      </c>
      <c r="C44" s="28">
        <f t="shared" ca="1" si="2"/>
        <v>0.38792118644399753</v>
      </c>
      <c r="D44" s="29">
        <f t="shared" ca="1" si="0"/>
        <v>0.41637635593319922</v>
      </c>
      <c r="F44" s="9">
        <f t="shared" ca="1" si="1"/>
        <v>1</v>
      </c>
      <c r="G44" s="47">
        <f ca="1">PERCENTILE($D$33:$D$132, 0.95)</f>
        <v>0.58110731692449058</v>
      </c>
    </row>
    <row r="45" spans="2:7" s="6" customFormat="1" x14ac:dyDescent="0.25">
      <c r="B45" s="6">
        <v>13</v>
      </c>
      <c r="C45" s="28">
        <f t="shared" ca="1" si="2"/>
        <v>0.65167649920427584</v>
      </c>
      <c r="D45" s="29">
        <f t="shared" ca="1" si="0"/>
        <v>0.49550294976128273</v>
      </c>
      <c r="F45" s="9">
        <f t="shared" ca="1" si="1"/>
        <v>1</v>
      </c>
    </row>
    <row r="46" spans="2:7" s="6" customFormat="1" x14ac:dyDescent="0.25">
      <c r="B46" s="6">
        <v>14</v>
      </c>
      <c r="C46" s="28">
        <f t="shared" ca="1" si="2"/>
        <v>0.91405051572923024</v>
      </c>
      <c r="D46" s="29">
        <f t="shared" ca="1" si="0"/>
        <v>0.57421515471876905</v>
      </c>
      <c r="F46" s="9">
        <f t="shared" ca="1" si="1"/>
        <v>0</v>
      </c>
    </row>
    <row r="47" spans="2:7" s="6" customFormat="1" x14ac:dyDescent="0.25">
      <c r="B47" s="6">
        <v>15</v>
      </c>
      <c r="C47" s="28">
        <f t="shared" ca="1" si="2"/>
        <v>0.32903291864158368</v>
      </c>
      <c r="D47" s="29">
        <f t="shared" ca="1" si="0"/>
        <v>0.39870987559247506</v>
      </c>
      <c r="F47" s="9">
        <f t="shared" ca="1" si="1"/>
        <v>1</v>
      </c>
    </row>
    <row r="48" spans="2:7" s="6" customFormat="1" x14ac:dyDescent="0.25">
      <c r="B48" s="6">
        <v>16</v>
      </c>
      <c r="C48" s="28">
        <f t="shared" ca="1" si="2"/>
        <v>0.95278247475579747</v>
      </c>
      <c r="D48" s="29">
        <f t="shared" ca="1" si="0"/>
        <v>0.58583474242673916</v>
      </c>
      <c r="F48" s="9">
        <f t="shared" ca="1" si="1"/>
        <v>0</v>
      </c>
    </row>
    <row r="49" spans="2:6" s="6" customFormat="1" x14ac:dyDescent="0.25">
      <c r="B49" s="6">
        <v>17</v>
      </c>
      <c r="C49" s="28">
        <f t="shared" ca="1" si="2"/>
        <v>0.25393309839956169</v>
      </c>
      <c r="D49" s="29">
        <f t="shared" ca="1" si="0"/>
        <v>0.37617992951986851</v>
      </c>
      <c r="F49" s="9">
        <f t="shared" ca="1" si="1"/>
        <v>1</v>
      </c>
    </row>
    <row r="50" spans="2:6" s="6" customFormat="1" x14ac:dyDescent="0.25">
      <c r="B50" s="6">
        <v>18</v>
      </c>
      <c r="C50" s="28">
        <f t="shared" ca="1" si="2"/>
        <v>0.31251416001258792</v>
      </c>
      <c r="D50" s="29">
        <f t="shared" ca="1" si="0"/>
        <v>0.39375424800377634</v>
      </c>
      <c r="F50" s="9">
        <f t="shared" ca="1" si="1"/>
        <v>1</v>
      </c>
    </row>
    <row r="51" spans="2:6" s="6" customFormat="1" x14ac:dyDescent="0.25">
      <c r="B51" s="6">
        <v>19</v>
      </c>
      <c r="C51" s="28">
        <f t="shared" ca="1" si="2"/>
        <v>0.44357083506731809</v>
      </c>
      <c r="D51" s="29">
        <f t="shared" ca="1" si="0"/>
        <v>0.43307125052019541</v>
      </c>
      <c r="F51" s="9">
        <f t="shared" ca="1" si="1"/>
        <v>1</v>
      </c>
    </row>
    <row r="52" spans="2:6" s="6" customFormat="1" x14ac:dyDescent="0.25">
      <c r="B52" s="6">
        <v>20</v>
      </c>
      <c r="C52" s="28">
        <f t="shared" ca="1" si="2"/>
        <v>0.11859535798897758</v>
      </c>
      <c r="D52" s="29">
        <f t="shared" ca="1" si="0"/>
        <v>0.33557860739669326</v>
      </c>
      <c r="F52" s="9">
        <f t="shared" ca="1" si="1"/>
        <v>1</v>
      </c>
    </row>
    <row r="53" spans="2:6" s="6" customFormat="1" x14ac:dyDescent="0.25">
      <c r="B53" s="6">
        <v>21</v>
      </c>
      <c r="C53" s="28">
        <f t="shared" ca="1" si="2"/>
        <v>0.70798608325271428</v>
      </c>
      <c r="D53" s="29">
        <f t="shared" ca="1" si="0"/>
        <v>0.51239582497581426</v>
      </c>
      <c r="F53" s="9">
        <f t="shared" ca="1" si="1"/>
        <v>0</v>
      </c>
    </row>
    <row r="54" spans="2:6" s="6" customFormat="1" x14ac:dyDescent="0.25">
      <c r="B54" s="6">
        <v>22</v>
      </c>
      <c r="C54" s="28">
        <f t="shared" ca="1" si="2"/>
        <v>3.0649358593793141E-2</v>
      </c>
      <c r="D54" s="29">
        <f t="shared" ca="1" si="0"/>
        <v>0.30919480757813794</v>
      </c>
      <c r="F54" s="9">
        <f t="shared" ca="1" si="1"/>
        <v>1</v>
      </c>
    </row>
    <row r="55" spans="2:6" s="6" customFormat="1" x14ac:dyDescent="0.25">
      <c r="B55" s="6">
        <v>23</v>
      </c>
      <c r="C55" s="28">
        <f t="shared" ca="1" si="2"/>
        <v>0.9260902949846026</v>
      </c>
      <c r="D55" s="29">
        <f t="shared" ca="1" si="0"/>
        <v>0.57782708849538078</v>
      </c>
      <c r="F55" s="9">
        <f t="shared" ca="1" si="1"/>
        <v>0</v>
      </c>
    </row>
    <row r="56" spans="2:6" s="6" customFormat="1" x14ac:dyDescent="0.25">
      <c r="B56" s="6">
        <v>24</v>
      </c>
      <c r="C56" s="28">
        <f t="shared" ca="1" si="2"/>
        <v>0.94995184199203353</v>
      </c>
      <c r="D56" s="29">
        <f t="shared" ca="1" si="0"/>
        <v>0.58498555259760998</v>
      </c>
      <c r="F56" s="9">
        <f t="shared" ca="1" si="1"/>
        <v>0</v>
      </c>
    </row>
    <row r="57" spans="2:6" s="6" customFormat="1" x14ac:dyDescent="0.25">
      <c r="B57" s="6">
        <v>25</v>
      </c>
      <c r="C57" s="28">
        <f t="shared" ca="1" si="2"/>
        <v>0.42349847556620979</v>
      </c>
      <c r="D57" s="29">
        <f t="shared" ca="1" si="0"/>
        <v>0.42704954266986295</v>
      </c>
      <c r="F57" s="9">
        <f t="shared" ca="1" si="1"/>
        <v>1</v>
      </c>
    </row>
    <row r="58" spans="2:6" s="6" customFormat="1" x14ac:dyDescent="0.25">
      <c r="B58" s="6">
        <v>26</v>
      </c>
      <c r="C58" s="28">
        <f t="shared" ca="1" si="2"/>
        <v>0.51503883251156324</v>
      </c>
      <c r="D58" s="29">
        <f t="shared" ca="1" si="0"/>
        <v>0.45451164975346892</v>
      </c>
      <c r="F58" s="9">
        <f t="shared" ca="1" si="1"/>
        <v>1</v>
      </c>
    </row>
    <row r="59" spans="2:6" s="6" customFormat="1" x14ac:dyDescent="0.25">
      <c r="B59" s="6">
        <v>27</v>
      </c>
      <c r="C59" s="28">
        <f t="shared" ca="1" si="2"/>
        <v>0.48023917349516299</v>
      </c>
      <c r="D59" s="29">
        <f t="shared" ca="1" si="0"/>
        <v>0.44407175204854887</v>
      </c>
      <c r="F59" s="9">
        <f t="shared" ca="1" si="1"/>
        <v>1</v>
      </c>
    </row>
    <row r="60" spans="2:6" s="6" customFormat="1" x14ac:dyDescent="0.25">
      <c r="B60" s="6">
        <v>28</v>
      </c>
      <c r="C60" s="28">
        <f t="shared" ca="1" si="2"/>
        <v>1.8918308187979127E-2</v>
      </c>
      <c r="D60" s="29">
        <f t="shared" ca="1" si="0"/>
        <v>0.30567549245639375</v>
      </c>
      <c r="F60" s="9">
        <f t="shared" ca="1" si="1"/>
        <v>1</v>
      </c>
    </row>
    <row r="61" spans="2:6" s="6" customFormat="1" x14ac:dyDescent="0.25">
      <c r="B61" s="6">
        <v>29</v>
      </c>
      <c r="C61" s="28">
        <f t="shared" ca="1" si="2"/>
        <v>0.58988613279992497</v>
      </c>
      <c r="D61" s="29">
        <f t="shared" ca="1" si="0"/>
        <v>0.47696583983997748</v>
      </c>
      <c r="F61" s="9">
        <f t="shared" ca="1" si="1"/>
        <v>1</v>
      </c>
    </row>
    <row r="62" spans="2:6" s="6" customFormat="1" x14ac:dyDescent="0.25">
      <c r="B62" s="6">
        <v>30</v>
      </c>
      <c r="C62" s="28">
        <f t="shared" ca="1" si="2"/>
        <v>0.92091097199738325</v>
      </c>
      <c r="D62" s="29">
        <f t="shared" ca="1" si="0"/>
        <v>0.57627329159921503</v>
      </c>
      <c r="F62" s="9">
        <f t="shared" ca="1" si="1"/>
        <v>0</v>
      </c>
    </row>
    <row r="63" spans="2:6" s="6" customFormat="1" x14ac:dyDescent="0.25">
      <c r="B63" s="6">
        <v>31</v>
      </c>
      <c r="C63" s="28">
        <f t="shared" ca="1" si="2"/>
        <v>0.57941540299878525</v>
      </c>
      <c r="D63" s="29">
        <f t="shared" ca="1" si="0"/>
        <v>0.47382462089963556</v>
      </c>
      <c r="F63" s="9">
        <f t="shared" ca="1" si="1"/>
        <v>1</v>
      </c>
    </row>
    <row r="64" spans="2:6" s="6" customFormat="1" x14ac:dyDescent="0.25">
      <c r="B64" s="6">
        <v>32</v>
      </c>
      <c r="C64" s="28">
        <f t="shared" ca="1" si="2"/>
        <v>0.42866348997844428</v>
      </c>
      <c r="D64" s="29">
        <f t="shared" ca="1" si="0"/>
        <v>0.42859904699353324</v>
      </c>
      <c r="F64" s="9">
        <f t="shared" ca="1" si="1"/>
        <v>1</v>
      </c>
    </row>
    <row r="65" spans="2:6" s="6" customFormat="1" x14ac:dyDescent="0.25">
      <c r="B65" s="6">
        <v>33</v>
      </c>
      <c r="C65" s="28">
        <f t="shared" ca="1" si="2"/>
        <v>0.26340212237697791</v>
      </c>
      <c r="D65" s="29">
        <f t="shared" ca="1" si="0"/>
        <v>0.37902063671309338</v>
      </c>
      <c r="F65" s="9">
        <f t="shared" ca="1" si="1"/>
        <v>1</v>
      </c>
    </row>
    <row r="66" spans="2:6" s="6" customFormat="1" x14ac:dyDescent="0.25">
      <c r="B66" s="6">
        <v>34</v>
      </c>
      <c r="C66" s="28">
        <f t="shared" ca="1" si="2"/>
        <v>0.47256300878464219</v>
      </c>
      <c r="D66" s="29">
        <f t="shared" ca="1" si="0"/>
        <v>0.44176890263539265</v>
      </c>
      <c r="F66" s="9">
        <f t="shared" ca="1" si="1"/>
        <v>1</v>
      </c>
    </row>
    <row r="67" spans="2:6" s="6" customFormat="1" x14ac:dyDescent="0.25">
      <c r="B67" s="6">
        <v>35</v>
      </c>
      <c r="C67" s="28">
        <f t="shared" ca="1" si="2"/>
        <v>0.96751415712930278</v>
      </c>
      <c r="D67" s="29">
        <f t="shared" ca="1" si="0"/>
        <v>0.59025424713879082</v>
      </c>
      <c r="F67" s="9">
        <f t="shared" ca="1" si="1"/>
        <v>0</v>
      </c>
    </row>
    <row r="68" spans="2:6" s="6" customFormat="1" x14ac:dyDescent="0.25">
      <c r="B68" s="6">
        <v>36</v>
      </c>
      <c r="C68" s="28">
        <f t="shared" ca="1" si="2"/>
        <v>0.4185525327680264</v>
      </c>
      <c r="D68" s="29">
        <f t="shared" ca="1" si="0"/>
        <v>0.4255657598304079</v>
      </c>
      <c r="F68" s="9">
        <f t="shared" ca="1" si="1"/>
        <v>1</v>
      </c>
    </row>
    <row r="69" spans="2:6" s="6" customFormat="1" x14ac:dyDescent="0.25">
      <c r="B69" s="6">
        <v>37</v>
      </c>
      <c r="C69" s="28">
        <f t="shared" ca="1" si="2"/>
        <v>0.74421623831729977</v>
      </c>
      <c r="D69" s="29">
        <f t="shared" ca="1" si="0"/>
        <v>0.52326487149518996</v>
      </c>
      <c r="F69" s="9">
        <f t="shared" ca="1" si="1"/>
        <v>0</v>
      </c>
    </row>
    <row r="70" spans="2:6" s="6" customFormat="1" x14ac:dyDescent="0.25">
      <c r="B70" s="6">
        <v>38</v>
      </c>
      <c r="C70" s="28">
        <f t="shared" ca="1" si="2"/>
        <v>0.19671286194623083</v>
      </c>
      <c r="D70" s="29">
        <f t="shared" ca="1" si="0"/>
        <v>0.35901385858386925</v>
      </c>
      <c r="F70" s="9">
        <f t="shared" ca="1" si="1"/>
        <v>1</v>
      </c>
    </row>
    <row r="71" spans="2:6" s="6" customFormat="1" x14ac:dyDescent="0.25">
      <c r="B71" s="6">
        <v>39</v>
      </c>
      <c r="C71" s="28">
        <f t="shared" ca="1" si="2"/>
        <v>0.86140691126784341</v>
      </c>
      <c r="D71" s="29">
        <f t="shared" ca="1" si="0"/>
        <v>0.55842207338035299</v>
      </c>
      <c r="F71" s="9">
        <f t="shared" ca="1" si="1"/>
        <v>0</v>
      </c>
    </row>
    <row r="72" spans="2:6" s="6" customFormat="1" x14ac:dyDescent="0.25">
      <c r="B72" s="6">
        <v>40</v>
      </c>
      <c r="C72" s="28">
        <f t="shared" ca="1" si="2"/>
        <v>0.20966138089330555</v>
      </c>
      <c r="D72" s="29">
        <f t="shared" ca="1" si="0"/>
        <v>0.36289841426799163</v>
      </c>
      <c r="F72" s="9">
        <f t="shared" ca="1" si="1"/>
        <v>1</v>
      </c>
    </row>
    <row r="73" spans="2:6" s="6" customFormat="1" x14ac:dyDescent="0.25">
      <c r="B73" s="6">
        <v>41</v>
      </c>
      <c r="C73" s="28">
        <f t="shared" ca="1" si="2"/>
        <v>0.67781393358886199</v>
      </c>
      <c r="D73" s="29">
        <f t="shared" ca="1" si="0"/>
        <v>0.5033441800766586</v>
      </c>
      <c r="F73" s="9">
        <f t="shared" ca="1" si="1"/>
        <v>0</v>
      </c>
    </row>
    <row r="74" spans="2:6" s="6" customFormat="1" x14ac:dyDescent="0.25">
      <c r="B74" s="6">
        <v>42</v>
      </c>
      <c r="C74" s="28">
        <f t="shared" ca="1" si="2"/>
        <v>0.21640208110567039</v>
      </c>
      <c r="D74" s="29">
        <f t="shared" ca="1" si="0"/>
        <v>0.36492062433170108</v>
      </c>
      <c r="F74" s="9">
        <f t="shared" ca="1" si="1"/>
        <v>1</v>
      </c>
    </row>
    <row r="75" spans="2:6" s="6" customFormat="1" x14ac:dyDescent="0.25">
      <c r="B75" s="6">
        <v>43</v>
      </c>
      <c r="C75" s="28">
        <f t="shared" ca="1" si="2"/>
        <v>0.78703555319887608</v>
      </c>
      <c r="D75" s="29">
        <f t="shared" ca="1" si="0"/>
        <v>0.53611066595966284</v>
      </c>
      <c r="F75" s="9">
        <f t="shared" ca="1" si="1"/>
        <v>0</v>
      </c>
    </row>
    <row r="76" spans="2:6" s="6" customFormat="1" x14ac:dyDescent="0.25">
      <c r="B76" s="6">
        <v>44</v>
      </c>
      <c r="C76" s="28">
        <f t="shared" ca="1" si="2"/>
        <v>0.98494434608356363</v>
      </c>
      <c r="D76" s="29">
        <f t="shared" ca="1" si="0"/>
        <v>0.59548330382506909</v>
      </c>
      <c r="F76" s="9">
        <f t="shared" ca="1" si="1"/>
        <v>0</v>
      </c>
    </row>
    <row r="77" spans="2:6" s="6" customFormat="1" x14ac:dyDescent="0.25">
      <c r="B77" s="6">
        <v>45</v>
      </c>
      <c r="C77" s="28">
        <f t="shared" ca="1" si="2"/>
        <v>0.85036990756985187</v>
      </c>
      <c r="D77" s="29">
        <f t="shared" ca="1" si="0"/>
        <v>0.55511097227095552</v>
      </c>
      <c r="F77" s="9">
        <f t="shared" ca="1" si="1"/>
        <v>0</v>
      </c>
    </row>
    <row r="78" spans="2:6" s="6" customFormat="1" x14ac:dyDescent="0.25">
      <c r="B78" s="6">
        <v>46</v>
      </c>
      <c r="C78" s="28">
        <f t="shared" ca="1" si="2"/>
        <v>0.46822654284302834</v>
      </c>
      <c r="D78" s="29">
        <f t="shared" ca="1" si="0"/>
        <v>0.44046796285290846</v>
      </c>
      <c r="F78" s="9">
        <f t="shared" ca="1" si="1"/>
        <v>1</v>
      </c>
    </row>
    <row r="79" spans="2:6" s="6" customFormat="1" x14ac:dyDescent="0.25">
      <c r="B79" s="6">
        <v>47</v>
      </c>
      <c r="C79" s="28">
        <f t="shared" ca="1" si="2"/>
        <v>0.63185214166676507</v>
      </c>
      <c r="D79" s="29">
        <f t="shared" ca="1" si="0"/>
        <v>0.48955564250002948</v>
      </c>
      <c r="F79" s="9">
        <f t="shared" ca="1" si="1"/>
        <v>1</v>
      </c>
    </row>
    <row r="80" spans="2:6" s="6" customFormat="1" x14ac:dyDescent="0.25">
      <c r="B80" s="6">
        <v>48</v>
      </c>
      <c r="C80" s="28">
        <f t="shared" ca="1" si="2"/>
        <v>0.22348398827151261</v>
      </c>
      <c r="D80" s="29">
        <f t="shared" ca="1" si="0"/>
        <v>0.36704519648145378</v>
      </c>
      <c r="F80" s="9">
        <f t="shared" ca="1" si="1"/>
        <v>1</v>
      </c>
    </row>
    <row r="81" spans="2:6" s="6" customFormat="1" x14ac:dyDescent="0.25">
      <c r="B81" s="6">
        <v>49</v>
      </c>
      <c r="C81" s="28">
        <f t="shared" ca="1" si="2"/>
        <v>0.33691634843234153</v>
      </c>
      <c r="D81" s="29">
        <f t="shared" ca="1" si="0"/>
        <v>0.40107490452970246</v>
      </c>
      <c r="F81" s="9">
        <f t="shared" ca="1" si="1"/>
        <v>1</v>
      </c>
    </row>
    <row r="82" spans="2:6" s="6" customFormat="1" x14ac:dyDescent="0.25">
      <c r="B82" s="6">
        <v>50</v>
      </c>
      <c r="C82" s="28">
        <f t="shared" ca="1" si="2"/>
        <v>0.60741899657801368</v>
      </c>
      <c r="D82" s="29">
        <f t="shared" ca="1" si="0"/>
        <v>0.48222569897340406</v>
      </c>
      <c r="F82" s="9">
        <f t="shared" ca="1" si="1"/>
        <v>1</v>
      </c>
    </row>
    <row r="83" spans="2:6" s="6" customFormat="1" x14ac:dyDescent="0.25">
      <c r="B83" s="6">
        <v>51</v>
      </c>
      <c r="C83" s="28">
        <f t="shared" ca="1" si="2"/>
        <v>0.68541643793255258</v>
      </c>
      <c r="D83" s="29">
        <f t="shared" ca="1" si="0"/>
        <v>0.50562493137976572</v>
      </c>
      <c r="F83" s="9">
        <f t="shared" ca="1" si="1"/>
        <v>0</v>
      </c>
    </row>
    <row r="84" spans="2:6" s="6" customFormat="1" x14ac:dyDescent="0.25">
      <c r="B84" s="6">
        <v>52</v>
      </c>
      <c r="C84" s="28">
        <f t="shared" ca="1" si="2"/>
        <v>0.25450443538181</v>
      </c>
      <c r="D84" s="29">
        <f t="shared" ca="1" si="0"/>
        <v>0.37635133061454296</v>
      </c>
      <c r="F84" s="9">
        <f t="shared" ca="1" si="1"/>
        <v>1</v>
      </c>
    </row>
    <row r="85" spans="2:6" s="6" customFormat="1" x14ac:dyDescent="0.25">
      <c r="B85" s="6">
        <v>53</v>
      </c>
      <c r="C85" s="28">
        <f t="shared" ca="1" si="2"/>
        <v>0.5431427299351882</v>
      </c>
      <c r="D85" s="29">
        <f t="shared" ca="1" si="0"/>
        <v>0.46294281898055645</v>
      </c>
      <c r="F85" s="9">
        <f t="shared" ca="1" si="1"/>
        <v>1</v>
      </c>
    </row>
    <row r="86" spans="2:6" s="6" customFormat="1" x14ac:dyDescent="0.25">
      <c r="B86" s="6">
        <v>54</v>
      </c>
      <c r="C86" s="28">
        <f t="shared" ca="1" si="2"/>
        <v>0.36798720320381806</v>
      </c>
      <c r="D86" s="29">
        <f t="shared" ca="1" si="0"/>
        <v>0.4103961609611454</v>
      </c>
      <c r="F86" s="9">
        <f t="shared" ca="1" si="1"/>
        <v>1</v>
      </c>
    </row>
    <row r="87" spans="2:6" s="6" customFormat="1" x14ac:dyDescent="0.25">
      <c r="B87" s="6">
        <v>55</v>
      </c>
      <c r="C87" s="28">
        <f t="shared" ca="1" si="2"/>
        <v>0.58598766951364079</v>
      </c>
      <c r="D87" s="29">
        <f t="shared" ca="1" si="0"/>
        <v>0.47579630085409219</v>
      </c>
      <c r="F87" s="9">
        <f t="shared" ca="1" si="1"/>
        <v>1</v>
      </c>
    </row>
    <row r="88" spans="2:6" s="6" customFormat="1" x14ac:dyDescent="0.25">
      <c r="B88" s="6">
        <v>56</v>
      </c>
      <c r="C88" s="28">
        <f t="shared" ca="1" si="2"/>
        <v>0.57408919845850825</v>
      </c>
      <c r="D88" s="29">
        <f t="shared" ca="1" si="0"/>
        <v>0.47222675953755244</v>
      </c>
      <c r="F88" s="9">
        <f t="shared" ca="1" si="1"/>
        <v>1</v>
      </c>
    </row>
    <row r="89" spans="2:6" s="6" customFormat="1" x14ac:dyDescent="0.25">
      <c r="B89" s="6">
        <v>57</v>
      </c>
      <c r="C89" s="28">
        <f t="shared" ca="1" si="2"/>
        <v>0.76822471717459229</v>
      </c>
      <c r="D89" s="29">
        <f t="shared" ca="1" si="0"/>
        <v>0.53046741515237761</v>
      </c>
      <c r="F89" s="9">
        <f t="shared" ca="1" si="1"/>
        <v>0</v>
      </c>
    </row>
    <row r="90" spans="2:6" s="6" customFormat="1" x14ac:dyDescent="0.25">
      <c r="B90" s="6">
        <v>58</v>
      </c>
      <c r="C90" s="28">
        <f t="shared" ca="1" si="2"/>
        <v>0.32047125893778505</v>
      </c>
      <c r="D90" s="29">
        <f t="shared" ca="1" si="0"/>
        <v>0.3961413776813355</v>
      </c>
      <c r="F90" s="9">
        <f t="shared" ca="1" si="1"/>
        <v>1</v>
      </c>
    </row>
    <row r="91" spans="2:6" s="6" customFormat="1" x14ac:dyDescent="0.25">
      <c r="B91" s="6">
        <v>59</v>
      </c>
      <c r="C91" s="28">
        <f t="shared" ca="1" si="2"/>
        <v>0.78780135016644381</v>
      </c>
      <c r="D91" s="29">
        <f t="shared" ca="1" si="0"/>
        <v>0.53634040504993319</v>
      </c>
      <c r="F91" s="9">
        <f t="shared" ca="1" si="1"/>
        <v>0</v>
      </c>
    </row>
    <row r="92" spans="2:6" s="6" customFormat="1" x14ac:dyDescent="0.25">
      <c r="B92" s="6">
        <v>60</v>
      </c>
      <c r="C92" s="28">
        <f t="shared" ca="1" si="2"/>
        <v>0.39959415950126342</v>
      </c>
      <c r="D92" s="29">
        <f t="shared" ca="1" si="0"/>
        <v>0.41987824785037903</v>
      </c>
      <c r="F92" s="9">
        <f t="shared" ca="1" si="1"/>
        <v>1</v>
      </c>
    </row>
    <row r="93" spans="2:6" s="6" customFormat="1" x14ac:dyDescent="0.25">
      <c r="B93" s="6">
        <v>61</v>
      </c>
      <c r="C93" s="28">
        <f t="shared" ca="1" si="2"/>
        <v>0.45209946538663381</v>
      </c>
      <c r="D93" s="29">
        <f t="shared" ca="1" si="0"/>
        <v>0.43562983961599011</v>
      </c>
      <c r="F93" s="9">
        <f t="shared" ca="1" si="1"/>
        <v>1</v>
      </c>
    </row>
    <row r="94" spans="2:6" s="6" customFormat="1" x14ac:dyDescent="0.25">
      <c r="B94" s="6">
        <v>62</v>
      </c>
      <c r="C94" s="28">
        <f t="shared" ca="1" si="2"/>
        <v>0.46894813268691393</v>
      </c>
      <c r="D94" s="29">
        <f t="shared" ca="1" si="0"/>
        <v>0.44068443980607419</v>
      </c>
      <c r="F94" s="9">
        <f t="shared" ca="1" si="1"/>
        <v>1</v>
      </c>
    </row>
    <row r="95" spans="2:6" s="6" customFormat="1" x14ac:dyDescent="0.25">
      <c r="B95" s="6">
        <v>63</v>
      </c>
      <c r="C95" s="28">
        <f t="shared" ca="1" si="2"/>
        <v>0.74730892218837697</v>
      </c>
      <c r="D95" s="29">
        <f t="shared" ca="1" si="0"/>
        <v>0.52419267665651303</v>
      </c>
      <c r="F95" s="9">
        <f t="shared" ca="1" si="1"/>
        <v>0</v>
      </c>
    </row>
    <row r="96" spans="2:6" s="6" customFormat="1" x14ac:dyDescent="0.25">
      <c r="B96" s="6">
        <v>64</v>
      </c>
      <c r="C96" s="28">
        <f t="shared" ca="1" si="2"/>
        <v>6.2566106375339103E-3</v>
      </c>
      <c r="D96" s="29">
        <f t="shared" ca="1" si="0"/>
        <v>0.30187698319126016</v>
      </c>
      <c r="F96" s="9">
        <f t="shared" ca="1" si="1"/>
        <v>1</v>
      </c>
    </row>
    <row r="97" spans="2:6" s="6" customFormat="1" x14ac:dyDescent="0.25">
      <c r="B97" s="6">
        <v>65</v>
      </c>
      <c r="C97" s="28">
        <f t="shared" ca="1" si="2"/>
        <v>0.81978033613399759</v>
      </c>
      <c r="D97" s="29">
        <f t="shared" ca="1" si="0"/>
        <v>0.54593410084019922</v>
      </c>
      <c r="F97" s="9">
        <f t="shared" ca="1" si="1"/>
        <v>0</v>
      </c>
    </row>
    <row r="98" spans="2:6" s="6" customFormat="1" x14ac:dyDescent="0.25">
      <c r="B98" s="6">
        <v>66</v>
      </c>
      <c r="C98" s="28">
        <f t="shared" ca="1" si="2"/>
        <v>0.66270255920153798</v>
      </c>
      <c r="D98" s="29">
        <f t="shared" ref="D98:D132" ca="1" si="3">$C$5+C98*($C$6-$C$5)</f>
        <v>0.4988107677604614</v>
      </c>
      <c r="F98" s="9">
        <f t="shared" ref="F98:F132" ca="1" si="4">IF(D98&gt;$D$13,0,1)</f>
        <v>1</v>
      </c>
    </row>
    <row r="99" spans="2:6" s="6" customFormat="1" x14ac:dyDescent="0.25">
      <c r="B99" s="6">
        <v>67</v>
      </c>
      <c r="C99" s="28">
        <f t="shared" ref="C99:C132" ca="1" si="5">RAND()</f>
        <v>0.55184573939003678</v>
      </c>
      <c r="D99" s="29">
        <f t="shared" ca="1" si="3"/>
        <v>0.46555372181701105</v>
      </c>
      <c r="F99" s="9">
        <f t="shared" ca="1" si="4"/>
        <v>1</v>
      </c>
    </row>
    <row r="100" spans="2:6" s="6" customFormat="1" x14ac:dyDescent="0.25">
      <c r="B100" s="6">
        <v>68</v>
      </c>
      <c r="C100" s="28">
        <f t="shared" ca="1" si="5"/>
        <v>0.87421467577247725</v>
      </c>
      <c r="D100" s="29">
        <f t="shared" ca="1" si="3"/>
        <v>0.56226440273174316</v>
      </c>
      <c r="F100" s="9">
        <f t="shared" ca="1" si="4"/>
        <v>0</v>
      </c>
    </row>
    <row r="101" spans="2:6" s="6" customFormat="1" x14ac:dyDescent="0.25">
      <c r="B101" s="6">
        <v>69</v>
      </c>
      <c r="C101" s="28">
        <f t="shared" ca="1" si="5"/>
        <v>0.43024101518320179</v>
      </c>
      <c r="D101" s="29">
        <f t="shared" ca="1" si="3"/>
        <v>0.42907230455496048</v>
      </c>
      <c r="F101" s="9">
        <f t="shared" ca="1" si="4"/>
        <v>1</v>
      </c>
    </row>
    <row r="102" spans="2:6" s="6" customFormat="1" x14ac:dyDescent="0.25">
      <c r="B102" s="6">
        <v>70</v>
      </c>
      <c r="C102" s="28">
        <f t="shared" ca="1" si="5"/>
        <v>0.73780222016733843</v>
      </c>
      <c r="D102" s="29">
        <f t="shared" ca="1" si="3"/>
        <v>0.52134066605020157</v>
      </c>
      <c r="F102" s="9">
        <f t="shared" ca="1" si="4"/>
        <v>0</v>
      </c>
    </row>
    <row r="103" spans="2:6" s="6" customFormat="1" x14ac:dyDescent="0.25">
      <c r="B103" s="6">
        <v>71</v>
      </c>
      <c r="C103" s="28">
        <f t="shared" ca="1" si="5"/>
        <v>0.4259227040438146</v>
      </c>
      <c r="D103" s="29">
        <f t="shared" ca="1" si="3"/>
        <v>0.42777681121314437</v>
      </c>
      <c r="F103" s="9">
        <f t="shared" ca="1" si="4"/>
        <v>1</v>
      </c>
    </row>
    <row r="104" spans="2:6" s="6" customFormat="1" x14ac:dyDescent="0.25">
      <c r="B104" s="6">
        <v>72</v>
      </c>
      <c r="C104" s="28">
        <f t="shared" ca="1" si="5"/>
        <v>6.4899110344648014E-2</v>
      </c>
      <c r="D104" s="29">
        <f t="shared" ca="1" si="3"/>
        <v>0.31946973310339438</v>
      </c>
      <c r="F104" s="9">
        <f t="shared" ca="1" si="4"/>
        <v>1</v>
      </c>
    </row>
    <row r="105" spans="2:6" s="6" customFormat="1" x14ac:dyDescent="0.25">
      <c r="B105" s="6">
        <v>73</v>
      </c>
      <c r="C105" s="28">
        <f t="shared" ca="1" si="5"/>
        <v>0.89107444477192299</v>
      </c>
      <c r="D105" s="29">
        <f t="shared" ca="1" si="3"/>
        <v>0.5673223334315769</v>
      </c>
      <c r="F105" s="9">
        <f t="shared" ca="1" si="4"/>
        <v>0</v>
      </c>
    </row>
    <row r="106" spans="2:6" s="6" customFormat="1" x14ac:dyDescent="0.25">
      <c r="B106" s="6">
        <v>74</v>
      </c>
      <c r="C106" s="28">
        <f t="shared" ca="1" si="5"/>
        <v>0.55933938900428626</v>
      </c>
      <c r="D106" s="29">
        <f t="shared" ca="1" si="3"/>
        <v>0.46780181670128584</v>
      </c>
      <c r="F106" s="9">
        <f t="shared" ca="1" si="4"/>
        <v>1</v>
      </c>
    </row>
    <row r="107" spans="2:6" s="6" customFormat="1" x14ac:dyDescent="0.25">
      <c r="B107" s="6">
        <v>75</v>
      </c>
      <c r="C107" s="28">
        <f t="shared" ca="1" si="5"/>
        <v>0.28868075555932127</v>
      </c>
      <c r="D107" s="29">
        <f t="shared" ca="1" si="3"/>
        <v>0.38660422666779637</v>
      </c>
      <c r="F107" s="9">
        <f t="shared" ca="1" si="4"/>
        <v>1</v>
      </c>
    </row>
    <row r="108" spans="2:6" s="6" customFormat="1" x14ac:dyDescent="0.25">
      <c r="B108" s="6">
        <v>76</v>
      </c>
      <c r="C108" s="28">
        <f t="shared" ca="1" si="5"/>
        <v>0.71798006242624979</v>
      </c>
      <c r="D108" s="29">
        <f t="shared" ca="1" si="3"/>
        <v>0.51539401872787494</v>
      </c>
      <c r="F108" s="9">
        <f t="shared" ca="1" si="4"/>
        <v>0</v>
      </c>
    </row>
    <row r="109" spans="2:6" s="6" customFormat="1" x14ac:dyDescent="0.25">
      <c r="B109" s="6">
        <v>77</v>
      </c>
      <c r="C109" s="28">
        <f t="shared" ca="1" si="5"/>
        <v>0.94985028092577728</v>
      </c>
      <c r="D109" s="29">
        <f t="shared" ca="1" si="3"/>
        <v>0.58495508427773313</v>
      </c>
      <c r="F109" s="9">
        <f t="shared" ca="1" si="4"/>
        <v>0</v>
      </c>
    </row>
    <row r="110" spans="2:6" s="6" customFormat="1" x14ac:dyDescent="0.25">
      <c r="B110" s="6">
        <v>78</v>
      </c>
      <c r="C110" s="28">
        <f t="shared" ca="1" si="5"/>
        <v>0.72088496254629753</v>
      </c>
      <c r="D110" s="29">
        <f t="shared" ca="1" si="3"/>
        <v>0.51626548876388922</v>
      </c>
      <c r="F110" s="9">
        <f t="shared" ca="1" si="4"/>
        <v>0</v>
      </c>
    </row>
    <row r="111" spans="2:6" s="6" customFormat="1" x14ac:dyDescent="0.25">
      <c r="B111" s="6">
        <v>79</v>
      </c>
      <c r="C111" s="28">
        <f t="shared" ca="1" si="5"/>
        <v>0.5123911313767715</v>
      </c>
      <c r="D111" s="29">
        <f t="shared" ca="1" si="3"/>
        <v>0.45371733941303144</v>
      </c>
      <c r="F111" s="9">
        <f t="shared" ca="1" si="4"/>
        <v>1</v>
      </c>
    </row>
    <row r="112" spans="2:6" s="6" customFormat="1" x14ac:dyDescent="0.25">
      <c r="B112" s="6">
        <v>80</v>
      </c>
      <c r="C112" s="28">
        <f t="shared" ca="1" si="5"/>
        <v>0.62401672446930068</v>
      </c>
      <c r="D112" s="29">
        <f t="shared" ca="1" si="3"/>
        <v>0.48720501734079019</v>
      </c>
      <c r="F112" s="9">
        <f t="shared" ca="1" si="4"/>
        <v>1</v>
      </c>
    </row>
    <row r="113" spans="2:6" s="6" customFormat="1" x14ac:dyDescent="0.25">
      <c r="B113" s="6">
        <v>81</v>
      </c>
      <c r="C113" s="28">
        <f t="shared" ca="1" si="5"/>
        <v>0.50859120784327494</v>
      </c>
      <c r="D113" s="29">
        <f t="shared" ca="1" si="3"/>
        <v>0.45257736235298246</v>
      </c>
      <c r="F113" s="9">
        <f t="shared" ca="1" si="4"/>
        <v>1</v>
      </c>
    </row>
    <row r="114" spans="2:6" s="6" customFormat="1" x14ac:dyDescent="0.25">
      <c r="B114" s="6">
        <v>82</v>
      </c>
      <c r="C114" s="28">
        <f t="shared" ca="1" si="5"/>
        <v>0.18707849769738794</v>
      </c>
      <c r="D114" s="29">
        <f t="shared" ca="1" si="3"/>
        <v>0.35612354930921636</v>
      </c>
      <c r="F114" s="9">
        <f t="shared" ca="1" si="4"/>
        <v>1</v>
      </c>
    </row>
    <row r="115" spans="2:6" s="6" customFormat="1" x14ac:dyDescent="0.25">
      <c r="B115" s="6">
        <v>83</v>
      </c>
      <c r="C115" s="28">
        <f t="shared" ca="1" si="5"/>
        <v>0.25742003834949712</v>
      </c>
      <c r="D115" s="29">
        <f t="shared" ca="1" si="3"/>
        <v>0.37722601150484913</v>
      </c>
      <c r="F115" s="9">
        <f t="shared" ca="1" si="4"/>
        <v>1</v>
      </c>
    </row>
    <row r="116" spans="2:6" s="6" customFormat="1" x14ac:dyDescent="0.25">
      <c r="B116" s="6">
        <v>84</v>
      </c>
      <c r="C116" s="28">
        <f t="shared" ca="1" si="5"/>
        <v>0.36481749483098236</v>
      </c>
      <c r="D116" s="29">
        <f t="shared" ca="1" si="3"/>
        <v>0.4094452484492947</v>
      </c>
      <c r="F116" s="9">
        <f t="shared" ca="1" si="4"/>
        <v>1</v>
      </c>
    </row>
    <row r="117" spans="2:6" s="6" customFormat="1" x14ac:dyDescent="0.25">
      <c r="B117" s="6">
        <v>85</v>
      </c>
      <c r="C117" s="28">
        <f t="shared" ca="1" si="5"/>
        <v>4.1934664653922593E-2</v>
      </c>
      <c r="D117" s="29">
        <f t="shared" ca="1" si="3"/>
        <v>0.31258039939617677</v>
      </c>
      <c r="F117" s="9">
        <f t="shared" ca="1" si="4"/>
        <v>1</v>
      </c>
    </row>
    <row r="118" spans="2:6" s="6" customFormat="1" x14ac:dyDescent="0.25">
      <c r="B118" s="6">
        <v>86</v>
      </c>
      <c r="C118" s="28">
        <f t="shared" ca="1" si="5"/>
        <v>0.36664783706409643</v>
      </c>
      <c r="D118" s="29">
        <f t="shared" ca="1" si="3"/>
        <v>0.40999435111922888</v>
      </c>
      <c r="F118" s="9">
        <f t="shared" ca="1" si="4"/>
        <v>1</v>
      </c>
    </row>
    <row r="119" spans="2:6" s="6" customFormat="1" x14ac:dyDescent="0.25">
      <c r="B119" s="6">
        <v>87</v>
      </c>
      <c r="C119" s="28">
        <f t="shared" ca="1" si="5"/>
        <v>0.18108644192766188</v>
      </c>
      <c r="D119" s="29">
        <f t="shared" ca="1" si="3"/>
        <v>0.35432593257829853</v>
      </c>
      <c r="F119" s="9">
        <f t="shared" ca="1" si="4"/>
        <v>1</v>
      </c>
    </row>
    <row r="120" spans="2:6" s="6" customFormat="1" x14ac:dyDescent="0.25">
      <c r="B120" s="6">
        <v>88</v>
      </c>
      <c r="C120" s="28">
        <f t="shared" ca="1" si="5"/>
        <v>6.1714224953541952E-2</v>
      </c>
      <c r="D120" s="29">
        <f t="shared" ca="1" si="3"/>
        <v>0.3185142674860626</v>
      </c>
      <c r="F120" s="9">
        <f t="shared" ca="1" si="4"/>
        <v>1</v>
      </c>
    </row>
    <row r="121" spans="2:6" s="6" customFormat="1" x14ac:dyDescent="0.25">
      <c r="B121" s="6">
        <v>89</v>
      </c>
      <c r="C121" s="28">
        <f t="shared" ca="1" si="5"/>
        <v>0.51067147416412384</v>
      </c>
      <c r="D121" s="29">
        <f t="shared" ca="1" si="3"/>
        <v>0.45320144224923714</v>
      </c>
      <c r="F121" s="9">
        <f t="shared" ca="1" si="4"/>
        <v>1</v>
      </c>
    </row>
    <row r="122" spans="2:6" s="6" customFormat="1" x14ac:dyDescent="0.25">
      <c r="B122" s="6">
        <v>90</v>
      </c>
      <c r="C122" s="28">
        <f t="shared" ca="1" si="5"/>
        <v>0.85538674126710501</v>
      </c>
      <c r="D122" s="29">
        <f t="shared" ca="1" si="3"/>
        <v>0.55661602238013153</v>
      </c>
      <c r="F122" s="9">
        <f t="shared" ca="1" si="4"/>
        <v>0</v>
      </c>
    </row>
    <row r="123" spans="2:6" s="6" customFormat="1" x14ac:dyDescent="0.25">
      <c r="B123" s="6">
        <v>91</v>
      </c>
      <c r="C123" s="28">
        <f t="shared" ca="1" si="5"/>
        <v>0.26102020596333075</v>
      </c>
      <c r="D123" s="29">
        <f t="shared" ca="1" si="3"/>
        <v>0.37830606178899923</v>
      </c>
      <c r="F123" s="9">
        <f t="shared" ca="1" si="4"/>
        <v>1</v>
      </c>
    </row>
    <row r="124" spans="2:6" s="6" customFormat="1" x14ac:dyDescent="0.25">
      <c r="B124" s="6">
        <v>92</v>
      </c>
      <c r="C124" s="28">
        <f t="shared" ca="1" si="5"/>
        <v>0.84211014123288241</v>
      </c>
      <c r="D124" s="29">
        <f t="shared" ca="1" si="3"/>
        <v>0.55263304236986466</v>
      </c>
      <c r="F124" s="9">
        <f t="shared" ca="1" si="4"/>
        <v>0</v>
      </c>
    </row>
    <row r="125" spans="2:6" s="6" customFormat="1" x14ac:dyDescent="0.25">
      <c r="B125" s="6">
        <v>93</v>
      </c>
      <c r="C125" s="28">
        <f t="shared" ca="1" si="5"/>
        <v>0.31315812068164572</v>
      </c>
      <c r="D125" s="29">
        <f t="shared" ca="1" si="3"/>
        <v>0.39394743620449368</v>
      </c>
      <c r="F125" s="9">
        <f t="shared" ca="1" si="4"/>
        <v>1</v>
      </c>
    </row>
    <row r="126" spans="2:6" s="6" customFormat="1" x14ac:dyDescent="0.25">
      <c r="B126" s="6">
        <v>94</v>
      </c>
      <c r="C126" s="28">
        <f t="shared" ca="1" si="5"/>
        <v>0.85377438461149469</v>
      </c>
      <c r="D126" s="29">
        <f t="shared" ca="1" si="3"/>
        <v>0.55613231538344832</v>
      </c>
      <c r="F126" s="9">
        <f t="shared" ca="1" si="4"/>
        <v>0</v>
      </c>
    </row>
    <row r="127" spans="2:6" s="6" customFormat="1" x14ac:dyDescent="0.25">
      <c r="B127" s="6">
        <v>95</v>
      </c>
      <c r="C127" s="28">
        <f t="shared" ca="1" si="5"/>
        <v>0.61932882629708064</v>
      </c>
      <c r="D127" s="29">
        <f t="shared" ca="1" si="3"/>
        <v>0.48579864788912419</v>
      </c>
      <c r="F127" s="9">
        <f t="shared" ca="1" si="4"/>
        <v>1</v>
      </c>
    </row>
    <row r="128" spans="2:6" s="6" customFormat="1" x14ac:dyDescent="0.25">
      <c r="B128" s="6">
        <v>96</v>
      </c>
      <c r="C128" s="28">
        <f t="shared" ca="1" si="5"/>
        <v>0.84470564188677077</v>
      </c>
      <c r="D128" s="29">
        <f t="shared" ca="1" si="3"/>
        <v>0.55341169256603129</v>
      </c>
      <c r="F128" s="9">
        <f t="shared" ca="1" si="4"/>
        <v>0</v>
      </c>
    </row>
    <row r="129" spans="2:6" s="6" customFormat="1" x14ac:dyDescent="0.25">
      <c r="B129" s="6">
        <v>97</v>
      </c>
      <c r="C129" s="28">
        <f t="shared" ca="1" si="5"/>
        <v>0.93487315786432224</v>
      </c>
      <c r="D129" s="29">
        <f t="shared" ca="1" si="3"/>
        <v>0.58046194735929668</v>
      </c>
      <c r="F129" s="9">
        <f t="shared" ca="1" si="4"/>
        <v>0</v>
      </c>
    </row>
    <row r="130" spans="2:6" s="6" customFormat="1" x14ac:dyDescent="0.25">
      <c r="B130" s="6">
        <v>98</v>
      </c>
      <c r="C130" s="28">
        <f t="shared" ca="1" si="5"/>
        <v>0.14821197335142777</v>
      </c>
      <c r="D130" s="29">
        <f t="shared" ca="1" si="3"/>
        <v>0.34446359200542831</v>
      </c>
      <c r="F130" s="9">
        <f t="shared" ca="1" si="4"/>
        <v>1</v>
      </c>
    </row>
    <row r="131" spans="2:6" s="6" customFormat="1" x14ac:dyDescent="0.25">
      <c r="B131" s="6">
        <v>99</v>
      </c>
      <c r="C131" s="28">
        <f t="shared" ca="1" si="5"/>
        <v>0.16199263177205547</v>
      </c>
      <c r="D131" s="29">
        <f t="shared" ca="1" si="3"/>
        <v>0.34859778953161663</v>
      </c>
      <c r="F131" s="9">
        <f t="shared" ca="1" si="4"/>
        <v>1</v>
      </c>
    </row>
    <row r="132" spans="2:6" s="6" customFormat="1" x14ac:dyDescent="0.25">
      <c r="B132" s="6">
        <v>100</v>
      </c>
      <c r="C132" s="28">
        <f t="shared" ca="1" si="5"/>
        <v>0.36161595370760702</v>
      </c>
      <c r="D132" s="29">
        <f t="shared" ca="1" si="3"/>
        <v>0.40848478611228212</v>
      </c>
      <c r="F132" s="9">
        <f t="shared" ca="1" si="4"/>
        <v>1</v>
      </c>
    </row>
  </sheetData>
  <sheetProtection sheet="1" objects="1" scenarios="1"/>
  <hyperlinks>
    <hyperlink ref="G1" r:id="rId1" xr:uid="{00000000-0004-0000-0B00-000000000000}"/>
    <hyperlink ref="F15" r:id="rId2" xr:uid="{00000000-0004-0000-0B00-000001000000}"/>
  </hyperlinks>
  <pageMargins left="0.7" right="0.7" top="0.75" bottom="0.75" header="0.3" footer="0.3"/>
  <pageSetup orientation="portrait" verticalDpi="1200" r:id="rId3"/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32"/>
  <sheetViews>
    <sheetView workbookViewId="0">
      <selection activeCell="N32" sqref="N32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9" customWidth="1"/>
    <col min="5" max="5" width="13.42578125" customWidth="1"/>
    <col min="6" max="6" width="14.140625" customWidth="1"/>
    <col min="7" max="7" width="27" customWidth="1"/>
    <col min="8" max="8" width="25.7109375" customWidth="1"/>
    <col min="9" max="9" width="20.7109375" customWidth="1"/>
    <col min="10" max="10" width="11.7109375" bestFit="1" customWidth="1"/>
  </cols>
  <sheetData>
    <row r="1" spans="1:10" s="7" customFormat="1" ht="26.25" x14ac:dyDescent="0.4">
      <c r="A1" s="7" t="s">
        <v>208</v>
      </c>
      <c r="G1" s="66" t="s">
        <v>213</v>
      </c>
    </row>
    <row r="2" spans="1:10" s="7" customFormat="1" ht="11.25" customHeight="1" x14ac:dyDescent="0.4"/>
    <row r="3" spans="1:10" s="7" customFormat="1" ht="19.5" customHeight="1" x14ac:dyDescent="0.4">
      <c r="C3" s="8" t="s">
        <v>209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210</v>
      </c>
      <c r="C5" s="57">
        <v>1</v>
      </c>
      <c r="E5" s="3"/>
      <c r="F5" s="3"/>
      <c r="G5" s="43"/>
      <c r="H5" s="3" t="s">
        <v>107</v>
      </c>
      <c r="I5" s="3" t="s">
        <v>61</v>
      </c>
      <c r="J5" s="45">
        <f>C5</f>
        <v>1</v>
      </c>
    </row>
    <row r="6" spans="1:10" s="1" customFormat="1" ht="19.5" thickBot="1" x14ac:dyDescent="0.35">
      <c r="A6" s="2"/>
      <c r="B6" s="3" t="s">
        <v>61</v>
      </c>
      <c r="C6" s="57">
        <v>20</v>
      </c>
      <c r="F6" s="3"/>
      <c r="G6" s="43"/>
      <c r="H6" s="63" t="s">
        <v>214</v>
      </c>
      <c r="I6" s="3" t="s">
        <v>215</v>
      </c>
      <c r="J6" s="45">
        <f>C6^-C5</f>
        <v>0.05</v>
      </c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216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21" x14ac:dyDescent="0.3">
      <c r="A9" s="4"/>
      <c r="B9" s="5"/>
      <c r="C9" s="100" t="s">
        <v>227</v>
      </c>
      <c r="D9" s="67" t="s">
        <v>221</v>
      </c>
      <c r="E9" s="67" t="s">
        <v>222</v>
      </c>
      <c r="F9" s="67" t="s">
        <v>223</v>
      </c>
      <c r="G9" s="101" t="s">
        <v>224</v>
      </c>
      <c r="H9" s="101" t="s">
        <v>225</v>
      </c>
      <c r="I9" s="101" t="s">
        <v>226</v>
      </c>
    </row>
    <row r="10" spans="1:10" s="6" customFormat="1" ht="10.5" customHeight="1" x14ac:dyDescent="0.25"/>
    <row r="11" spans="1:10" s="19" customFormat="1" ht="19.5" thickBot="1" x14ac:dyDescent="0.35">
      <c r="A11" s="2" t="s">
        <v>211</v>
      </c>
    </row>
    <row r="12" spans="1:10" s="1" customFormat="1" ht="19.5" thickBot="1" x14ac:dyDescent="0.35">
      <c r="C12" s="3" t="s">
        <v>161</v>
      </c>
      <c r="D12" s="57">
        <v>0</v>
      </c>
    </row>
    <row r="13" spans="1:10" s="1" customFormat="1" ht="19.5" thickBot="1" x14ac:dyDescent="0.35">
      <c r="C13" s="3" t="s">
        <v>162</v>
      </c>
      <c r="D13" s="57">
        <v>20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T ≤ " &amp; D13 &amp;") ="</f>
        <v>Pr(0 ≤ T ≤ 20) =</v>
      </c>
      <c r="D15" s="46">
        <f>WEIBULL($D$13,$C$5, $C$6,1)-WEIBULL($D$12,$C$5,$C$6,1)</f>
        <v>0.63212055882855767</v>
      </c>
      <c r="F15" s="61" t="s">
        <v>105</v>
      </c>
    </row>
    <row r="16" spans="1:10" s="1" customFormat="1" ht="15.75" x14ac:dyDescent="0.25">
      <c r="C16" s="20" t="str">
        <f>"Pr(T ≤ "&amp;D12&amp;")="</f>
        <v>Pr(T ≤ 0)=</v>
      </c>
      <c r="D16" s="46">
        <f>WEIBULL($D$12,$C$5,$C$6,1)</f>
        <v>0</v>
      </c>
    </row>
    <row r="17" spans="1:7" s="1" customFormat="1" ht="15.75" x14ac:dyDescent="0.25">
      <c r="C17" s="20" t="str">
        <f>"Pr(T ≤ " &amp; D13 &amp; ") ="</f>
        <v>Pr(T ≤ 20) =</v>
      </c>
      <c r="D17" s="46">
        <f>WEIBULL($D$13,$C$5, $C$6,1)</f>
        <v>0.63212055882855767</v>
      </c>
    </row>
    <row r="18" spans="1:7" s="1" customFormat="1" ht="15.75" x14ac:dyDescent="0.25">
      <c r="C18" s="20" t="str">
        <f>"Pr(T &gt; " &amp; D13 &amp;") ="</f>
        <v>Pr(T &gt; 20) =</v>
      </c>
      <c r="D18" s="46">
        <f>1-D17</f>
        <v>0.36787944117144233</v>
      </c>
    </row>
    <row r="19" spans="1:7" s="1" customFormat="1" ht="15.75" x14ac:dyDescent="0.25">
      <c r="C19" s="20"/>
      <c r="D19" s="24"/>
    </row>
    <row r="20" spans="1:7" s="1" customFormat="1" ht="15.75" x14ac:dyDescent="0.25">
      <c r="C20" s="20" t="s">
        <v>52</v>
      </c>
      <c r="D20" s="46">
        <f>C6*EXP(GAMMALN(1+(1/C5)))</f>
        <v>20</v>
      </c>
    </row>
    <row r="21" spans="1:7" s="1" customFormat="1" ht="15.75" x14ac:dyDescent="0.25">
      <c r="C21" s="20" t="s">
        <v>38</v>
      </c>
      <c r="D21" s="46">
        <f>SQRT(D22)</f>
        <v>20</v>
      </c>
    </row>
    <row r="22" spans="1:7" s="1" customFormat="1" ht="15.75" x14ac:dyDescent="0.25">
      <c r="C22" s="20" t="s">
        <v>34</v>
      </c>
      <c r="D22" s="46">
        <f>($C$6*$C$6)*EXP(GAMMALN(1+(2/$C$5)))-$D$20^2</f>
        <v>400</v>
      </c>
    </row>
    <row r="23" spans="1:7" s="1" customFormat="1" ht="15.75" x14ac:dyDescent="0.25">
      <c r="C23" s="20"/>
      <c r="D23" s="21"/>
    </row>
    <row r="24" spans="1:7" s="1" customFormat="1" ht="15.75" x14ac:dyDescent="0.25">
      <c r="C24" s="20" t="s">
        <v>35</v>
      </c>
      <c r="D24" s="46">
        <f>$C$6*(-LN(1-0.05))^(1/$C$5)</f>
        <v>1.0258658877510116</v>
      </c>
    </row>
    <row r="25" spans="1:7" s="1" customFormat="1" ht="15.75" x14ac:dyDescent="0.25">
      <c r="C25" s="20" t="s">
        <v>36</v>
      </c>
      <c r="D25" s="46">
        <f>$C$6*(-LN(1-0.5))^(1/$C$5)</f>
        <v>13.862943611198906</v>
      </c>
    </row>
    <row r="26" spans="1:7" s="1" customFormat="1" ht="15.75" x14ac:dyDescent="0.25">
      <c r="C26" s="20" t="s">
        <v>37</v>
      </c>
      <c r="D26" s="46">
        <f>$C$6*(-LN(1-0.95))^(1/$C$5)</f>
        <v>59.914645471079801</v>
      </c>
    </row>
    <row r="27" spans="1:7" s="1" customFormat="1" x14ac:dyDescent="0.25"/>
    <row r="28" spans="1:7" s="6" customFormat="1" ht="18.75" x14ac:dyDescent="0.3">
      <c r="A28" s="4" t="s">
        <v>212</v>
      </c>
    </row>
    <row r="29" spans="1:7" s="6" customFormat="1" ht="18.75" x14ac:dyDescent="0.3">
      <c r="A29" s="4"/>
    </row>
    <row r="30" spans="1:7" s="6" customFormat="1" ht="18.75" x14ac:dyDescent="0.3">
      <c r="A30" s="4"/>
      <c r="C30" s="30" t="s">
        <v>44</v>
      </c>
      <c r="D30" s="32">
        <f ca="1">AVERAGE(D33:D132)</f>
        <v>22.676790575948129</v>
      </c>
      <c r="F30" s="30" t="s">
        <v>45</v>
      </c>
      <c r="G30" s="32">
        <f ca="1">STDEV(D33:D132)</f>
        <v>22.707122895938284</v>
      </c>
    </row>
    <row r="31" spans="1:7" s="6" customFormat="1" ht="18.75" x14ac:dyDescent="0.3">
      <c r="A31" s="4"/>
    </row>
    <row r="32" spans="1:7" s="6" customFormat="1" ht="15.75" x14ac:dyDescent="0.25">
      <c r="B32" s="31" t="s">
        <v>41</v>
      </c>
      <c r="C32" s="31" t="s">
        <v>42</v>
      </c>
      <c r="D32" s="31" t="s">
        <v>220</v>
      </c>
      <c r="E32" s="33"/>
      <c r="F32" s="34" t="s">
        <v>218</v>
      </c>
    </row>
    <row r="33" spans="2:7" s="6" customFormat="1" x14ac:dyDescent="0.25">
      <c r="B33" s="6">
        <v>1</v>
      </c>
      <c r="C33" s="28">
        <f ca="1">RAND()</f>
        <v>0.78741382547522087</v>
      </c>
      <c r="D33" s="29">
        <f ca="1">$C$6*(-LN(1-C33))^(1/$C$5)</f>
        <v>30.968156912923121</v>
      </c>
      <c r="F33" s="9">
        <f ca="1">IF(D33&gt;$D$13,0,1)</f>
        <v>0</v>
      </c>
    </row>
    <row r="34" spans="2:7" s="6" customFormat="1" x14ac:dyDescent="0.25">
      <c r="B34" s="6">
        <v>2</v>
      </c>
      <c r="C34" s="28">
        <f ca="1">RAND()</f>
        <v>0.88772775909213864</v>
      </c>
      <c r="D34" s="29">
        <f t="shared" ref="D34:D97" ca="1" si="0">$C$6*(-LN(1-C34))^(1/$C$5)</f>
        <v>43.736572694451404</v>
      </c>
      <c r="F34" s="9">
        <f t="shared" ref="F34:F97" ca="1" si="1">IF(D34&gt;$D$13,0,1)</f>
        <v>0</v>
      </c>
      <c r="G34" s="36" t="s">
        <v>219</v>
      </c>
    </row>
    <row r="35" spans="2:7" s="6" customFormat="1" x14ac:dyDescent="0.25">
      <c r="B35" s="6">
        <v>3</v>
      </c>
      <c r="C35" s="28">
        <f t="shared" ref="C35:C98" ca="1" si="2">RAND()</f>
        <v>4.8575537689651949E-2</v>
      </c>
      <c r="D35" s="29">
        <f t="shared" ca="1" si="0"/>
        <v>0.99589966810739117</v>
      </c>
      <c r="F35" s="9">
        <f t="shared" ca="1" si="1"/>
        <v>1</v>
      </c>
      <c r="G35" s="47">
        <f ca="1">SUM(F33:F132)/100</f>
        <v>0.56999999999999995</v>
      </c>
    </row>
    <row r="36" spans="2:7" s="6" customFormat="1" x14ac:dyDescent="0.25">
      <c r="B36" s="6">
        <v>4</v>
      </c>
      <c r="C36" s="28">
        <f t="shared" ca="1" si="2"/>
        <v>0.40194347735653069</v>
      </c>
      <c r="D36" s="29">
        <f t="shared" ca="1" si="0"/>
        <v>10.28140020055009</v>
      </c>
      <c r="F36" s="9">
        <f t="shared" ca="1" si="1"/>
        <v>1</v>
      </c>
    </row>
    <row r="37" spans="2:7" s="6" customFormat="1" x14ac:dyDescent="0.25">
      <c r="B37" s="6">
        <v>5</v>
      </c>
      <c r="C37" s="28">
        <f t="shared" ca="1" si="2"/>
        <v>0.83604033735377914</v>
      </c>
      <c r="D37" s="29">
        <f t="shared" ca="1" si="0"/>
        <v>36.162696817703882</v>
      </c>
      <c r="F37" s="9">
        <f t="shared" ca="1" si="1"/>
        <v>0</v>
      </c>
      <c r="G37" s="36" t="s">
        <v>49</v>
      </c>
    </row>
    <row r="38" spans="2:7" s="6" customFormat="1" x14ac:dyDescent="0.25">
      <c r="B38" s="6">
        <v>6</v>
      </c>
      <c r="C38" s="28">
        <f t="shared" ca="1" si="2"/>
        <v>0.32552742092136511</v>
      </c>
      <c r="D38" s="29">
        <f t="shared" ca="1" si="0"/>
        <v>7.8764851572354155</v>
      </c>
      <c r="F38" s="9">
        <f t="shared" ca="1" si="1"/>
        <v>1</v>
      </c>
      <c r="G38" s="47">
        <f ca="1">PERCENTILE($D$33:$D$132, 0.05)</f>
        <v>0.86886358362703719</v>
      </c>
    </row>
    <row r="39" spans="2:7" s="6" customFormat="1" x14ac:dyDescent="0.25">
      <c r="B39" s="6">
        <v>7</v>
      </c>
      <c r="C39" s="28">
        <f t="shared" ca="1" si="2"/>
        <v>0.1915834360110592</v>
      </c>
      <c r="D39" s="29">
        <f t="shared" ca="1" si="0"/>
        <v>4.2535560763951752</v>
      </c>
      <c r="F39" s="9">
        <f t="shared" ca="1" si="1"/>
        <v>1</v>
      </c>
    </row>
    <row r="40" spans="2:7" s="6" customFormat="1" x14ac:dyDescent="0.25">
      <c r="B40" s="6">
        <v>8</v>
      </c>
      <c r="C40" s="28">
        <f t="shared" ca="1" si="2"/>
        <v>0.54518432377650361</v>
      </c>
      <c r="D40" s="29">
        <f t="shared" ca="1" si="0"/>
        <v>15.757260986207665</v>
      </c>
      <c r="F40" s="9">
        <f t="shared" ca="1" si="1"/>
        <v>1</v>
      </c>
      <c r="G40" s="36" t="s">
        <v>50</v>
      </c>
    </row>
    <row r="41" spans="2:7" s="6" customFormat="1" x14ac:dyDescent="0.25">
      <c r="B41" s="6">
        <v>9</v>
      </c>
      <c r="C41" s="28">
        <f t="shared" ca="1" si="2"/>
        <v>0.31460159624576989</v>
      </c>
      <c r="D41" s="29">
        <f t="shared" ca="1" si="0"/>
        <v>7.5550999694035861</v>
      </c>
      <c r="F41" s="9">
        <f t="shared" ca="1" si="1"/>
        <v>1</v>
      </c>
      <c r="G41" s="47">
        <f ca="1">PERCENTILE($D$33:$D$132, 0.5)</f>
        <v>15.474890839471628</v>
      </c>
    </row>
    <row r="42" spans="2:7" s="6" customFormat="1" x14ac:dyDescent="0.25">
      <c r="B42" s="6">
        <v>10</v>
      </c>
      <c r="C42" s="28">
        <f t="shared" ca="1" si="2"/>
        <v>0.84522854224234278</v>
      </c>
      <c r="D42" s="29">
        <f t="shared" ca="1" si="0"/>
        <v>37.316114324746707</v>
      </c>
      <c r="F42" s="9">
        <f t="shared" ca="1" si="1"/>
        <v>0</v>
      </c>
    </row>
    <row r="43" spans="2:7" s="6" customFormat="1" x14ac:dyDescent="0.25">
      <c r="B43" s="6">
        <v>11</v>
      </c>
      <c r="C43" s="28">
        <f t="shared" ca="1" si="2"/>
        <v>0.96554051666251128</v>
      </c>
      <c r="D43" s="29">
        <f t="shared" ca="1" si="0"/>
        <v>67.359420822060599</v>
      </c>
      <c r="F43" s="9">
        <f t="shared" ca="1" si="1"/>
        <v>0</v>
      </c>
      <c r="G43" s="36" t="s">
        <v>51</v>
      </c>
    </row>
    <row r="44" spans="2:7" s="6" customFormat="1" x14ac:dyDescent="0.25">
      <c r="B44" s="6">
        <v>12</v>
      </c>
      <c r="C44" s="28">
        <f t="shared" ca="1" si="2"/>
        <v>0.1686275105747419</v>
      </c>
      <c r="D44" s="29">
        <f t="shared" ca="1" si="0"/>
        <v>3.6935468433659842</v>
      </c>
      <c r="F44" s="9">
        <f t="shared" ca="1" si="1"/>
        <v>1</v>
      </c>
      <c r="G44" s="47">
        <f ca="1">PERCENTILE($D$33:$D$132, 0.95)</f>
        <v>63.41162654206645</v>
      </c>
    </row>
    <row r="45" spans="2:7" s="6" customFormat="1" x14ac:dyDescent="0.25">
      <c r="B45" s="6">
        <v>13</v>
      </c>
      <c r="C45" s="28">
        <f t="shared" ca="1" si="2"/>
        <v>0.40294399518639346</v>
      </c>
      <c r="D45" s="29">
        <f t="shared" ca="1" si="0"/>
        <v>10.314887191628099</v>
      </c>
      <c r="F45" s="9">
        <f t="shared" ca="1" si="1"/>
        <v>1</v>
      </c>
    </row>
    <row r="46" spans="2:7" s="6" customFormat="1" x14ac:dyDescent="0.25">
      <c r="B46" s="6">
        <v>14</v>
      </c>
      <c r="C46" s="28">
        <f t="shared" ca="1" si="2"/>
        <v>0.5203372508041072</v>
      </c>
      <c r="D46" s="29">
        <f t="shared" ca="1" si="0"/>
        <v>14.693440557305017</v>
      </c>
      <c r="F46" s="9">
        <f t="shared" ca="1" si="1"/>
        <v>1</v>
      </c>
    </row>
    <row r="47" spans="2:7" s="6" customFormat="1" x14ac:dyDescent="0.25">
      <c r="B47" s="6">
        <v>15</v>
      </c>
      <c r="C47" s="28">
        <f t="shared" ca="1" si="2"/>
        <v>0.22684401706204249</v>
      </c>
      <c r="D47" s="29">
        <f t="shared" ca="1" si="0"/>
        <v>5.1454892339680489</v>
      </c>
      <c r="F47" s="9">
        <f t="shared" ca="1" si="1"/>
        <v>1</v>
      </c>
    </row>
    <row r="48" spans="2:7" s="6" customFormat="1" x14ac:dyDescent="0.25">
      <c r="B48" s="6">
        <v>16</v>
      </c>
      <c r="C48" s="28">
        <f t="shared" ca="1" si="2"/>
        <v>0.15169317814803707</v>
      </c>
      <c r="D48" s="29">
        <f t="shared" ca="1" si="0"/>
        <v>3.2902578081801561</v>
      </c>
      <c r="F48" s="9">
        <f t="shared" ca="1" si="1"/>
        <v>1</v>
      </c>
    </row>
    <row r="49" spans="2:6" s="6" customFormat="1" x14ac:dyDescent="0.25">
      <c r="B49" s="6">
        <v>17</v>
      </c>
      <c r="C49" s="28">
        <f t="shared" ca="1" si="2"/>
        <v>0.81164430900336859</v>
      </c>
      <c r="D49" s="29">
        <f t="shared" ca="1" si="0"/>
        <v>33.388462605864333</v>
      </c>
      <c r="F49" s="9">
        <f t="shared" ca="1" si="1"/>
        <v>0</v>
      </c>
    </row>
    <row r="50" spans="2:6" s="6" customFormat="1" x14ac:dyDescent="0.25">
      <c r="B50" s="6">
        <v>18</v>
      </c>
      <c r="C50" s="28">
        <f t="shared" ca="1" si="2"/>
        <v>0.49601320873176113</v>
      </c>
      <c r="D50" s="29">
        <f t="shared" ca="1" si="0"/>
        <v>13.704104381106244</v>
      </c>
      <c r="F50" s="9">
        <f t="shared" ca="1" si="1"/>
        <v>1</v>
      </c>
    </row>
    <row r="51" spans="2:6" s="6" customFormat="1" x14ac:dyDescent="0.25">
      <c r="B51" s="6">
        <v>19</v>
      </c>
      <c r="C51" s="28">
        <f t="shared" ca="1" si="2"/>
        <v>0.87817713284819932</v>
      </c>
      <c r="D51" s="29">
        <f t="shared" ca="1" si="0"/>
        <v>42.103743957625923</v>
      </c>
      <c r="F51" s="9">
        <f t="shared" ca="1" si="1"/>
        <v>0</v>
      </c>
    </row>
    <row r="52" spans="2:6" s="6" customFormat="1" x14ac:dyDescent="0.25">
      <c r="B52" s="6">
        <v>20</v>
      </c>
      <c r="C52" s="28">
        <f t="shared" ca="1" si="2"/>
        <v>0.21841272827040137</v>
      </c>
      <c r="D52" s="29">
        <f t="shared" ca="1" si="0"/>
        <v>4.9285692655329436</v>
      </c>
      <c r="F52" s="9">
        <f t="shared" ca="1" si="1"/>
        <v>1</v>
      </c>
    </row>
    <row r="53" spans="2:6" s="6" customFormat="1" x14ac:dyDescent="0.25">
      <c r="B53" s="6">
        <v>21</v>
      </c>
      <c r="C53" s="28">
        <f t="shared" ca="1" si="2"/>
        <v>0.99725242520915724</v>
      </c>
      <c r="D53" s="29">
        <f t="shared" ca="1" si="0"/>
        <v>117.94073301280318</v>
      </c>
      <c r="F53" s="9">
        <f t="shared" ca="1" si="1"/>
        <v>0</v>
      </c>
    </row>
    <row r="54" spans="2:6" s="6" customFormat="1" x14ac:dyDescent="0.25">
      <c r="B54" s="6">
        <v>22</v>
      </c>
      <c r="C54" s="28">
        <f t="shared" ca="1" si="2"/>
        <v>2.2774315301467229E-2</v>
      </c>
      <c r="D54" s="29">
        <f t="shared" ca="1" si="0"/>
        <v>0.46075311941698627</v>
      </c>
      <c r="F54" s="9">
        <f t="shared" ca="1" si="1"/>
        <v>1</v>
      </c>
    </row>
    <row r="55" spans="2:6" s="6" customFormat="1" x14ac:dyDescent="0.25">
      <c r="B55" s="6">
        <v>23</v>
      </c>
      <c r="C55" s="28">
        <f t="shared" ca="1" si="2"/>
        <v>2.9214381981826798E-2</v>
      </c>
      <c r="D55" s="29">
        <f t="shared" ca="1" si="0"/>
        <v>0.59299239613232457</v>
      </c>
      <c r="F55" s="9">
        <f t="shared" ca="1" si="1"/>
        <v>1</v>
      </c>
    </row>
    <row r="56" spans="2:6" s="6" customFormat="1" x14ac:dyDescent="0.25">
      <c r="B56" s="6">
        <v>24</v>
      </c>
      <c r="C56" s="28">
        <f t="shared" ca="1" si="2"/>
        <v>0.73240327245751113</v>
      </c>
      <c r="D56" s="29">
        <f t="shared" ca="1" si="0"/>
        <v>26.365483594346074</v>
      </c>
      <c r="F56" s="9">
        <f t="shared" ca="1" si="1"/>
        <v>0</v>
      </c>
    </row>
    <row r="57" spans="2:6" s="6" customFormat="1" x14ac:dyDescent="0.25">
      <c r="B57" s="6">
        <v>25</v>
      </c>
      <c r="C57" s="28">
        <f t="shared" ca="1" si="2"/>
        <v>0.72735825015422373</v>
      </c>
      <c r="D57" s="29">
        <f t="shared" ca="1" si="0"/>
        <v>25.991932344135865</v>
      </c>
      <c r="F57" s="9">
        <f t="shared" ca="1" si="1"/>
        <v>0</v>
      </c>
    </row>
    <row r="58" spans="2:6" s="6" customFormat="1" x14ac:dyDescent="0.25">
      <c r="B58" s="6">
        <v>26</v>
      </c>
      <c r="C58" s="28">
        <f t="shared" ca="1" si="2"/>
        <v>0.67995109466138615</v>
      </c>
      <c r="D58" s="29">
        <f t="shared" ca="1" si="0"/>
        <v>22.785629313647728</v>
      </c>
      <c r="F58" s="9">
        <f t="shared" ca="1" si="1"/>
        <v>0</v>
      </c>
    </row>
    <row r="59" spans="2:6" s="6" customFormat="1" x14ac:dyDescent="0.25">
      <c r="B59" s="6">
        <v>27</v>
      </c>
      <c r="C59" s="28">
        <f t="shared" ca="1" si="2"/>
        <v>0.80354262116687447</v>
      </c>
      <c r="D59" s="29">
        <f t="shared" ca="1" si="0"/>
        <v>32.546195456239417</v>
      </c>
      <c r="F59" s="9">
        <f t="shared" ca="1" si="1"/>
        <v>0</v>
      </c>
    </row>
    <row r="60" spans="2:6" s="6" customFormat="1" x14ac:dyDescent="0.25">
      <c r="B60" s="6">
        <v>28</v>
      </c>
      <c r="C60" s="28">
        <f t="shared" ca="1" si="2"/>
        <v>0.2442310789984331</v>
      </c>
      <c r="D60" s="29">
        <f t="shared" ca="1" si="0"/>
        <v>5.6003921915399211</v>
      </c>
      <c r="F60" s="9">
        <f t="shared" ca="1" si="1"/>
        <v>1</v>
      </c>
    </row>
    <row r="61" spans="2:6" s="6" customFormat="1" x14ac:dyDescent="0.25">
      <c r="B61" s="6">
        <v>29</v>
      </c>
      <c r="C61" s="28">
        <f t="shared" ca="1" si="2"/>
        <v>0.86022329594445734</v>
      </c>
      <c r="D61" s="29">
        <f t="shared" ca="1" si="0"/>
        <v>39.354182014501731</v>
      </c>
      <c r="F61" s="9">
        <f t="shared" ca="1" si="1"/>
        <v>0</v>
      </c>
    </row>
    <row r="62" spans="2:6" s="6" customFormat="1" x14ac:dyDescent="0.25">
      <c r="B62" s="6">
        <v>30</v>
      </c>
      <c r="C62" s="28">
        <f t="shared" ca="1" si="2"/>
        <v>0.15603834255516313</v>
      </c>
      <c r="D62" s="29">
        <f t="shared" ca="1" si="0"/>
        <v>3.3929642997172564</v>
      </c>
      <c r="F62" s="9">
        <f t="shared" ca="1" si="1"/>
        <v>1</v>
      </c>
    </row>
    <row r="63" spans="2:6" s="6" customFormat="1" x14ac:dyDescent="0.25">
      <c r="B63" s="6">
        <v>31</v>
      </c>
      <c r="C63" s="28">
        <f t="shared" ca="1" si="2"/>
        <v>0.24140354301782785</v>
      </c>
      <c r="D63" s="29">
        <f t="shared" ca="1" si="0"/>
        <v>5.5257064041460744</v>
      </c>
      <c r="F63" s="9">
        <f t="shared" ca="1" si="1"/>
        <v>1</v>
      </c>
    </row>
    <row r="64" spans="2:6" s="6" customFormat="1" x14ac:dyDescent="0.25">
      <c r="B64" s="6">
        <v>32</v>
      </c>
      <c r="C64" s="28">
        <f t="shared" ca="1" si="2"/>
        <v>0.55463694281091636</v>
      </c>
      <c r="D64" s="29">
        <f t="shared" ca="1" si="0"/>
        <v>16.177309411918969</v>
      </c>
      <c r="F64" s="9">
        <f t="shared" ca="1" si="1"/>
        <v>1</v>
      </c>
    </row>
    <row r="65" spans="2:6" s="6" customFormat="1" x14ac:dyDescent="0.25">
      <c r="B65" s="6">
        <v>33</v>
      </c>
      <c r="C65" s="28">
        <f t="shared" ca="1" si="2"/>
        <v>0.86502481754228688</v>
      </c>
      <c r="D65" s="29">
        <f t="shared" ca="1" si="0"/>
        <v>40.053287021795057</v>
      </c>
      <c r="F65" s="9">
        <f t="shared" ca="1" si="1"/>
        <v>0</v>
      </c>
    </row>
    <row r="66" spans="2:6" s="6" customFormat="1" x14ac:dyDescent="0.25">
      <c r="B66" s="6">
        <v>34</v>
      </c>
      <c r="C66" s="28">
        <f t="shared" ca="1" si="2"/>
        <v>0.56014268181195992</v>
      </c>
      <c r="D66" s="29">
        <f t="shared" ca="1" si="0"/>
        <v>16.426097630085984</v>
      </c>
      <c r="F66" s="9">
        <f t="shared" ca="1" si="1"/>
        <v>1</v>
      </c>
    </row>
    <row r="67" spans="2:6" s="6" customFormat="1" x14ac:dyDescent="0.25">
      <c r="B67" s="6">
        <v>35</v>
      </c>
      <c r="C67" s="28">
        <f t="shared" ca="1" si="2"/>
        <v>0.11282006962202529</v>
      </c>
      <c r="D67" s="29">
        <f t="shared" ca="1" si="0"/>
        <v>2.3941492901420762</v>
      </c>
      <c r="F67" s="9">
        <f t="shared" ca="1" si="1"/>
        <v>1</v>
      </c>
    </row>
    <row r="68" spans="2:6" s="6" customFormat="1" x14ac:dyDescent="0.25">
      <c r="B68" s="6">
        <v>36</v>
      </c>
      <c r="C68" s="28">
        <f t="shared" ca="1" si="2"/>
        <v>0.92907979827336229</v>
      </c>
      <c r="D68" s="29">
        <f t="shared" ca="1" si="0"/>
        <v>52.923999067098791</v>
      </c>
      <c r="F68" s="9">
        <f t="shared" ca="1" si="1"/>
        <v>0</v>
      </c>
    </row>
    <row r="69" spans="2:6" s="6" customFormat="1" x14ac:dyDescent="0.25">
      <c r="B69" s="6">
        <v>37</v>
      </c>
      <c r="C69" s="28">
        <f t="shared" ca="1" si="2"/>
        <v>0.95758242062577037</v>
      </c>
      <c r="D69" s="29">
        <f t="shared" ca="1" si="0"/>
        <v>63.203847895750982</v>
      </c>
      <c r="F69" s="9">
        <f t="shared" ca="1" si="1"/>
        <v>0</v>
      </c>
    </row>
    <row r="70" spans="2:6" s="6" customFormat="1" x14ac:dyDescent="0.25">
      <c r="B70" s="6">
        <v>38</v>
      </c>
      <c r="C70" s="28">
        <f t="shared" ca="1" si="2"/>
        <v>0.6951175170485635</v>
      </c>
      <c r="D70" s="29">
        <f t="shared" ca="1" si="0"/>
        <v>23.756577568422095</v>
      </c>
      <c r="F70" s="9">
        <f t="shared" ca="1" si="1"/>
        <v>0</v>
      </c>
    </row>
    <row r="71" spans="2:6" s="6" customFormat="1" x14ac:dyDescent="0.25">
      <c r="B71" s="6">
        <v>39</v>
      </c>
      <c r="C71" s="28">
        <f t="shared" ca="1" si="2"/>
        <v>0.65516884386317531</v>
      </c>
      <c r="D71" s="29">
        <f t="shared" ca="1" si="0"/>
        <v>21.294007684984532</v>
      </c>
      <c r="F71" s="9">
        <f t="shared" ca="1" si="1"/>
        <v>0</v>
      </c>
    </row>
    <row r="72" spans="2:6" s="6" customFormat="1" x14ac:dyDescent="0.25">
      <c r="B72" s="6">
        <v>40</v>
      </c>
      <c r="C72" s="28">
        <f t="shared" ca="1" si="2"/>
        <v>0.47951082371920217</v>
      </c>
      <c r="D72" s="29">
        <f t="shared" ca="1" si="0"/>
        <v>13.059723719858026</v>
      </c>
      <c r="F72" s="9">
        <f t="shared" ca="1" si="1"/>
        <v>1</v>
      </c>
    </row>
    <row r="73" spans="2:6" s="6" customFormat="1" x14ac:dyDescent="0.25">
      <c r="B73" s="6">
        <v>41</v>
      </c>
      <c r="C73" s="28">
        <f t="shared" ca="1" si="2"/>
        <v>0.11256580614125744</v>
      </c>
      <c r="D73" s="29">
        <f t="shared" ca="1" si="0"/>
        <v>2.3884181629288941</v>
      </c>
      <c r="F73" s="9">
        <f t="shared" ca="1" si="1"/>
        <v>1</v>
      </c>
    </row>
    <row r="74" spans="2:6" s="6" customFormat="1" x14ac:dyDescent="0.25">
      <c r="B74" s="6">
        <v>42</v>
      </c>
      <c r="C74" s="28">
        <f t="shared" ca="1" si="2"/>
        <v>0.762881906927384</v>
      </c>
      <c r="D74" s="29">
        <f t="shared" ca="1" si="0"/>
        <v>28.783939578838826</v>
      </c>
      <c r="F74" s="9">
        <f t="shared" ca="1" si="1"/>
        <v>0</v>
      </c>
    </row>
    <row r="75" spans="2:6" s="6" customFormat="1" x14ac:dyDescent="0.25">
      <c r="B75" s="6">
        <v>43</v>
      </c>
      <c r="C75" s="28">
        <f t="shared" ca="1" si="2"/>
        <v>5.0559799523670623E-2</v>
      </c>
      <c r="D75" s="29">
        <f t="shared" ca="1" si="0"/>
        <v>1.0376546145503713</v>
      </c>
      <c r="F75" s="9">
        <f t="shared" ca="1" si="1"/>
        <v>1</v>
      </c>
    </row>
    <row r="76" spans="2:6" s="6" customFormat="1" x14ac:dyDescent="0.25">
      <c r="B76" s="6">
        <v>44</v>
      </c>
      <c r="C76" s="28">
        <f t="shared" ca="1" si="2"/>
        <v>0.7268756873990676</v>
      </c>
      <c r="D76" s="29">
        <f t="shared" ca="1" si="0"/>
        <v>25.956564598567489</v>
      </c>
      <c r="F76" s="9">
        <f t="shared" ca="1" si="1"/>
        <v>0</v>
      </c>
    </row>
    <row r="77" spans="2:6" s="6" customFormat="1" x14ac:dyDescent="0.25">
      <c r="B77" s="6">
        <v>45</v>
      </c>
      <c r="C77" s="28">
        <f t="shared" ca="1" si="2"/>
        <v>0.32022374275018473</v>
      </c>
      <c r="D77" s="29">
        <f t="shared" ca="1" si="0"/>
        <v>7.7198313682304658</v>
      </c>
      <c r="F77" s="9">
        <f t="shared" ca="1" si="1"/>
        <v>1</v>
      </c>
    </row>
    <row r="78" spans="2:6" s="6" customFormat="1" x14ac:dyDescent="0.25">
      <c r="B78" s="6">
        <v>46</v>
      </c>
      <c r="C78" s="28">
        <f t="shared" ca="1" si="2"/>
        <v>1.7754504156185402E-2</v>
      </c>
      <c r="D78" s="29">
        <f t="shared" ca="1" si="0"/>
        <v>0.35828012207548027</v>
      </c>
      <c r="F78" s="9">
        <f t="shared" ca="1" si="1"/>
        <v>1</v>
      </c>
    </row>
    <row r="79" spans="2:6" s="6" customFormat="1" x14ac:dyDescent="0.25">
      <c r="B79" s="6">
        <v>47</v>
      </c>
      <c r="C79" s="28">
        <f t="shared" ca="1" si="2"/>
        <v>2.569086388595665E-2</v>
      </c>
      <c r="D79" s="29">
        <f t="shared" ca="1" si="0"/>
        <v>0.52053274978294994</v>
      </c>
      <c r="F79" s="9">
        <f t="shared" ca="1" si="1"/>
        <v>1</v>
      </c>
    </row>
    <row r="80" spans="2:6" s="6" customFormat="1" x14ac:dyDescent="0.25">
      <c r="B80" s="6">
        <v>48</v>
      </c>
      <c r="C80" s="28">
        <f t="shared" ca="1" si="2"/>
        <v>0.13245696586511513</v>
      </c>
      <c r="D80" s="29">
        <f t="shared" ca="1" si="0"/>
        <v>2.8418032263919901</v>
      </c>
      <c r="F80" s="9">
        <f t="shared" ca="1" si="1"/>
        <v>1</v>
      </c>
    </row>
    <row r="81" spans="2:6" s="6" customFormat="1" x14ac:dyDescent="0.25">
      <c r="B81" s="6">
        <v>49</v>
      </c>
      <c r="C81" s="28">
        <f t="shared" ca="1" si="2"/>
        <v>0.11415547322104025</v>
      </c>
      <c r="D81" s="29">
        <f t="shared" ca="1" si="0"/>
        <v>2.4242764290236507</v>
      </c>
      <c r="F81" s="9">
        <f t="shared" ca="1" si="1"/>
        <v>1</v>
      </c>
    </row>
    <row r="82" spans="2:6" s="6" customFormat="1" x14ac:dyDescent="0.25">
      <c r="B82" s="6">
        <v>50</v>
      </c>
      <c r="C82" s="28">
        <f t="shared" ca="1" si="2"/>
        <v>0.94633795397673715</v>
      </c>
      <c r="D82" s="29">
        <f t="shared" ca="1" si="0"/>
        <v>58.500986106358468</v>
      </c>
      <c r="F82" s="9">
        <f t="shared" ca="1" si="1"/>
        <v>0</v>
      </c>
    </row>
    <row r="83" spans="2:6" s="6" customFormat="1" x14ac:dyDescent="0.25">
      <c r="B83" s="6">
        <v>51</v>
      </c>
      <c r="C83" s="28">
        <f t="shared" ca="1" si="2"/>
        <v>0.8454654494176348</v>
      </c>
      <c r="D83" s="29">
        <f t="shared" ca="1" si="0"/>
        <v>37.346751585612182</v>
      </c>
      <c r="F83" s="9">
        <f t="shared" ca="1" si="1"/>
        <v>0</v>
      </c>
    </row>
    <row r="84" spans="2:6" s="6" customFormat="1" x14ac:dyDescent="0.25">
      <c r="B84" s="6">
        <v>52</v>
      </c>
      <c r="C84" s="28">
        <f t="shared" ca="1" si="2"/>
        <v>0.98977747315677023</v>
      </c>
      <c r="D84" s="29">
        <f t="shared" ca="1" si="0"/>
        <v>91.663229596643006</v>
      </c>
      <c r="F84" s="9">
        <f t="shared" ca="1" si="1"/>
        <v>0</v>
      </c>
    </row>
    <row r="85" spans="2:6" s="6" customFormat="1" x14ac:dyDescent="0.25">
      <c r="B85" s="6">
        <v>53</v>
      </c>
      <c r="C85" s="28">
        <f t="shared" ca="1" si="2"/>
        <v>4.3207903331290654E-2</v>
      </c>
      <c r="D85" s="29">
        <f t="shared" ca="1" si="0"/>
        <v>0.8833831198109694</v>
      </c>
      <c r="F85" s="9">
        <f t="shared" ca="1" si="1"/>
        <v>1</v>
      </c>
    </row>
    <row r="86" spans="2:6" s="6" customFormat="1" x14ac:dyDescent="0.25">
      <c r="B86" s="6">
        <v>54</v>
      </c>
      <c r="C86" s="28">
        <f t="shared" ca="1" si="2"/>
        <v>0.89864796032002126</v>
      </c>
      <c r="D86" s="29">
        <f t="shared" ca="1" si="0"/>
        <v>45.783105623516875</v>
      </c>
      <c r="F86" s="9">
        <f t="shared" ca="1" si="1"/>
        <v>0</v>
      </c>
    </row>
    <row r="87" spans="2:6" s="6" customFormat="1" x14ac:dyDescent="0.25">
      <c r="B87" s="6">
        <v>55</v>
      </c>
      <c r="C87" s="28">
        <f t="shared" ca="1" si="2"/>
        <v>0.28665133337764459</v>
      </c>
      <c r="D87" s="29">
        <f t="shared" ca="1" si="0"/>
        <v>6.755699292007705</v>
      </c>
      <c r="F87" s="9">
        <f t="shared" ca="1" si="1"/>
        <v>1</v>
      </c>
    </row>
    <row r="88" spans="2:6" s="6" customFormat="1" x14ac:dyDescent="0.25">
      <c r="B88" s="6">
        <v>56</v>
      </c>
      <c r="C88" s="28">
        <f t="shared" ca="1" si="2"/>
        <v>0.20934285108034423</v>
      </c>
      <c r="D88" s="29">
        <f t="shared" ca="1" si="0"/>
        <v>4.6978169045555704</v>
      </c>
      <c r="F88" s="9">
        <f t="shared" ca="1" si="1"/>
        <v>1</v>
      </c>
    </row>
    <row r="89" spans="2:6" s="6" customFormat="1" x14ac:dyDescent="0.25">
      <c r="B89" s="6">
        <v>57</v>
      </c>
      <c r="C89" s="28">
        <f t="shared" ca="1" si="2"/>
        <v>0.57909376115524258</v>
      </c>
      <c r="D89" s="29">
        <f t="shared" ca="1" si="0"/>
        <v>17.306903613719282</v>
      </c>
      <c r="F89" s="9">
        <f t="shared" ca="1" si="1"/>
        <v>1</v>
      </c>
    </row>
    <row r="90" spans="2:6" s="6" customFormat="1" x14ac:dyDescent="0.25">
      <c r="B90" s="6">
        <v>58</v>
      </c>
      <c r="C90" s="28">
        <f t="shared" ca="1" si="2"/>
        <v>0.26247018979041326</v>
      </c>
      <c r="D90" s="29">
        <f t="shared" ca="1" si="0"/>
        <v>6.088975419237701</v>
      </c>
      <c r="F90" s="9">
        <f t="shared" ca="1" si="1"/>
        <v>1</v>
      </c>
    </row>
    <row r="91" spans="2:6" s="6" customFormat="1" x14ac:dyDescent="0.25">
      <c r="B91" s="6">
        <v>59</v>
      </c>
      <c r="C91" s="28">
        <f t="shared" ca="1" si="2"/>
        <v>0.72657368825794422</v>
      </c>
      <c r="D91" s="29">
        <f t="shared" ca="1" si="0"/>
        <v>25.934462406499073</v>
      </c>
      <c r="F91" s="9">
        <f t="shared" ca="1" si="1"/>
        <v>0</v>
      </c>
    </row>
    <row r="92" spans="2:6" s="6" customFormat="1" x14ac:dyDescent="0.25">
      <c r="B92" s="6">
        <v>60</v>
      </c>
      <c r="C92" s="28">
        <f t="shared" ca="1" si="2"/>
        <v>0.91574997417082493</v>
      </c>
      <c r="D92" s="29">
        <f t="shared" ca="1" si="0"/>
        <v>49.479328063439347</v>
      </c>
      <c r="F92" s="9">
        <f t="shared" ca="1" si="1"/>
        <v>0</v>
      </c>
    </row>
    <row r="93" spans="2:6" s="6" customFormat="1" x14ac:dyDescent="0.25">
      <c r="B93" s="6">
        <v>61</v>
      </c>
      <c r="C93" s="28">
        <f t="shared" ca="1" si="2"/>
        <v>0.56078105982055637</v>
      </c>
      <c r="D93" s="29">
        <f t="shared" ca="1" si="0"/>
        <v>16.455145308930099</v>
      </c>
      <c r="F93" s="9">
        <f t="shared" ca="1" si="1"/>
        <v>1</v>
      </c>
    </row>
    <row r="94" spans="2:6" s="6" customFormat="1" x14ac:dyDescent="0.25">
      <c r="B94" s="6">
        <v>62</v>
      </c>
      <c r="C94" s="28">
        <f t="shared" ca="1" si="2"/>
        <v>0.34811346545054045</v>
      </c>
      <c r="D94" s="29">
        <f t="shared" ca="1" si="0"/>
        <v>8.5576951792906222</v>
      </c>
      <c r="F94" s="9">
        <f t="shared" ca="1" si="1"/>
        <v>1</v>
      </c>
    </row>
    <row r="95" spans="2:6" s="6" customFormat="1" x14ac:dyDescent="0.25">
      <c r="B95" s="6">
        <v>63</v>
      </c>
      <c r="C95" s="28">
        <f t="shared" ca="1" si="2"/>
        <v>9.1596373169347323E-2</v>
      </c>
      <c r="D95" s="29">
        <f t="shared" ca="1" si="0"/>
        <v>1.9213295242129877</v>
      </c>
      <c r="F95" s="9">
        <f t="shared" ca="1" si="1"/>
        <v>1</v>
      </c>
    </row>
    <row r="96" spans="2:6" s="6" customFormat="1" x14ac:dyDescent="0.25">
      <c r="B96" s="6">
        <v>64</v>
      </c>
      <c r="C96" s="28">
        <f t="shared" ca="1" si="2"/>
        <v>0.98094455910059875</v>
      </c>
      <c r="D96" s="29">
        <f t="shared" ca="1" si="0"/>
        <v>79.208052133430115</v>
      </c>
      <c r="F96" s="9">
        <f t="shared" ca="1" si="1"/>
        <v>0</v>
      </c>
    </row>
    <row r="97" spans="2:6" s="6" customFormat="1" x14ac:dyDescent="0.25">
      <c r="B97" s="6">
        <v>65</v>
      </c>
      <c r="C97" s="28">
        <f t="shared" ca="1" si="2"/>
        <v>0.15150405268023037</v>
      </c>
      <c r="D97" s="29">
        <f t="shared" ca="1" si="0"/>
        <v>3.2857994121420071</v>
      </c>
      <c r="F97" s="9">
        <f t="shared" ca="1" si="1"/>
        <v>1</v>
      </c>
    </row>
    <row r="98" spans="2:6" s="6" customFormat="1" x14ac:dyDescent="0.25">
      <c r="B98" s="6">
        <v>66</v>
      </c>
      <c r="C98" s="28">
        <f t="shared" ca="1" si="2"/>
        <v>0.84715838451126302</v>
      </c>
      <c r="D98" s="29">
        <f t="shared" ref="D98:D132" ca="1" si="3">$C$6*(-LN(1-C98))^(1/$C$5)</f>
        <v>37.567061733119878</v>
      </c>
      <c r="F98" s="9">
        <f t="shared" ref="F98:F132" ca="1" si="4">IF(D98&gt;$D$13,0,1)</f>
        <v>0</v>
      </c>
    </row>
    <row r="99" spans="2:6" s="6" customFormat="1" x14ac:dyDescent="0.25">
      <c r="B99" s="6">
        <v>67</v>
      </c>
      <c r="C99" s="28">
        <f t="shared" ref="C99:C132" ca="1" si="5">RAND()</f>
        <v>0.44718997860686405</v>
      </c>
      <c r="D99" s="29">
        <f t="shared" ca="1" si="3"/>
        <v>11.854817565367279</v>
      </c>
      <c r="F99" s="9">
        <f t="shared" ca="1" si="4"/>
        <v>1</v>
      </c>
    </row>
    <row r="100" spans="2:6" s="6" customFormat="1" x14ac:dyDescent="0.25">
      <c r="B100" s="6">
        <v>68</v>
      </c>
      <c r="C100" s="28">
        <f t="shared" ca="1" si="5"/>
        <v>0.38397626418823394</v>
      </c>
      <c r="D100" s="29">
        <f t="shared" ca="1" si="3"/>
        <v>9.6893956805800823</v>
      </c>
      <c r="F100" s="9">
        <f t="shared" ca="1" si="4"/>
        <v>1</v>
      </c>
    </row>
    <row r="101" spans="2:6" s="6" customFormat="1" x14ac:dyDescent="0.25">
      <c r="B101" s="6">
        <v>69</v>
      </c>
      <c r="C101" s="28">
        <f t="shared" ca="1" si="5"/>
        <v>0.74336134945770005</v>
      </c>
      <c r="D101" s="29">
        <f t="shared" ca="1" si="3"/>
        <v>27.201724249830363</v>
      </c>
      <c r="F101" s="9">
        <f t="shared" ca="1" si="4"/>
        <v>0</v>
      </c>
    </row>
    <row r="102" spans="2:6" s="6" customFormat="1" x14ac:dyDescent="0.25">
      <c r="B102" s="6">
        <v>70</v>
      </c>
      <c r="C102" s="28">
        <f t="shared" ca="1" si="5"/>
        <v>0.97875758526785694</v>
      </c>
      <c r="D102" s="29">
        <f t="shared" ca="1" si="3"/>
        <v>77.035108022327591</v>
      </c>
      <c r="F102" s="9">
        <f t="shared" ca="1" si="4"/>
        <v>0</v>
      </c>
    </row>
    <row r="103" spans="2:6" s="6" customFormat="1" x14ac:dyDescent="0.25">
      <c r="B103" s="6">
        <v>71</v>
      </c>
      <c r="C103" s="28">
        <f t="shared" ca="1" si="5"/>
        <v>7.0836292556416547E-3</v>
      </c>
      <c r="D103" s="29">
        <f t="shared" ca="1" si="3"/>
        <v>0.14217674541434719</v>
      </c>
      <c r="F103" s="9">
        <f t="shared" ca="1" si="4"/>
        <v>1</v>
      </c>
    </row>
    <row r="104" spans="2:6" s="6" customFormat="1" x14ac:dyDescent="0.25">
      <c r="B104" s="6">
        <v>72</v>
      </c>
      <c r="C104" s="28">
        <f t="shared" ca="1" si="5"/>
        <v>0.94350817766440909</v>
      </c>
      <c r="D104" s="29">
        <f t="shared" ca="1" si="3"/>
        <v>57.473187774567663</v>
      </c>
      <c r="F104" s="9">
        <f t="shared" ca="1" si="4"/>
        <v>0</v>
      </c>
    </row>
    <row r="105" spans="2:6" s="6" customFormat="1" x14ac:dyDescent="0.25">
      <c r="B105" s="6">
        <v>73</v>
      </c>
      <c r="C105" s="28">
        <f t="shared" ca="1" si="5"/>
        <v>0.32159534524539513</v>
      </c>
      <c r="D105" s="29">
        <f t="shared" ca="1" si="3"/>
        <v>7.7602266631243708</v>
      </c>
      <c r="F105" s="9">
        <f t="shared" ca="1" si="4"/>
        <v>1</v>
      </c>
    </row>
    <row r="106" spans="2:6" s="6" customFormat="1" x14ac:dyDescent="0.25">
      <c r="B106" s="6">
        <v>74</v>
      </c>
      <c r="C106" s="28">
        <f t="shared" ca="1" si="5"/>
        <v>0.79080104686070141</v>
      </c>
      <c r="D106" s="29">
        <f t="shared" ca="1" si="3"/>
        <v>31.289391018362824</v>
      </c>
      <c r="F106" s="9">
        <f t="shared" ca="1" si="4"/>
        <v>0</v>
      </c>
    </row>
    <row r="107" spans="2:6" s="6" customFormat="1" x14ac:dyDescent="0.25">
      <c r="B107" s="6">
        <v>75</v>
      </c>
      <c r="C107" s="28">
        <f t="shared" ca="1" si="5"/>
        <v>0.13659359694740181</v>
      </c>
      <c r="D107" s="29">
        <f t="shared" ca="1" si="3"/>
        <v>2.9373955959537783</v>
      </c>
      <c r="F107" s="9">
        <f t="shared" ca="1" si="4"/>
        <v>1</v>
      </c>
    </row>
    <row r="108" spans="2:6" s="6" customFormat="1" x14ac:dyDescent="0.25">
      <c r="B108" s="6">
        <v>76</v>
      </c>
      <c r="C108" s="28">
        <f t="shared" ca="1" si="5"/>
        <v>0.73592211703726307</v>
      </c>
      <c r="D108" s="29">
        <f t="shared" ca="1" si="3"/>
        <v>26.630224162411732</v>
      </c>
      <c r="F108" s="9">
        <f t="shared" ca="1" si="4"/>
        <v>0</v>
      </c>
    </row>
    <row r="109" spans="2:6" s="6" customFormat="1" x14ac:dyDescent="0.25">
      <c r="B109" s="6">
        <v>77</v>
      </c>
      <c r="C109" s="28">
        <f t="shared" ca="1" si="5"/>
        <v>0.58623105058150438</v>
      </c>
      <c r="D109" s="29">
        <f t="shared" ca="1" si="3"/>
        <v>17.648951082816694</v>
      </c>
      <c r="F109" s="9">
        <f t="shared" ca="1" si="4"/>
        <v>1</v>
      </c>
    </row>
    <row r="110" spans="2:6" s="6" customFormat="1" x14ac:dyDescent="0.25">
      <c r="B110" s="6">
        <v>78</v>
      </c>
      <c r="C110" s="28">
        <f t="shared" ca="1" si="5"/>
        <v>0.27738932667037364</v>
      </c>
      <c r="D110" s="29">
        <f t="shared" ca="1" si="3"/>
        <v>6.4976937929501144</v>
      </c>
      <c r="F110" s="9">
        <f t="shared" ca="1" si="4"/>
        <v>1</v>
      </c>
    </row>
    <row r="111" spans="2:6" s="6" customFormat="1" x14ac:dyDescent="0.25">
      <c r="B111" s="6">
        <v>79</v>
      </c>
      <c r="C111" s="28">
        <f t="shared" ca="1" si="5"/>
        <v>0.91677850816373629</v>
      </c>
      <c r="D111" s="29">
        <f t="shared" ca="1" si="3"/>
        <v>49.724992983458584</v>
      </c>
      <c r="F111" s="9">
        <f t="shared" ca="1" si="4"/>
        <v>0</v>
      </c>
    </row>
    <row r="112" spans="2:6" s="6" customFormat="1" x14ac:dyDescent="0.25">
      <c r="B112" s="6">
        <v>80</v>
      </c>
      <c r="C112" s="28">
        <f t="shared" ca="1" si="5"/>
        <v>0.68682517179836855</v>
      </c>
      <c r="D112" s="29">
        <f t="shared" ca="1" si="3"/>
        <v>23.219873756438005</v>
      </c>
      <c r="F112" s="9">
        <f t="shared" ca="1" si="4"/>
        <v>0</v>
      </c>
    </row>
    <row r="113" spans="2:6" s="6" customFormat="1" x14ac:dyDescent="0.25">
      <c r="B113" s="6">
        <v>81</v>
      </c>
      <c r="C113" s="28">
        <f t="shared" ca="1" si="5"/>
        <v>0.17984646860610398</v>
      </c>
      <c r="D113" s="29">
        <f t="shared" ca="1" si="3"/>
        <v>3.9652744568526952</v>
      </c>
      <c r="F113" s="9">
        <f t="shared" ca="1" si="4"/>
        <v>1</v>
      </c>
    </row>
    <row r="114" spans="2:6" s="6" customFormat="1" x14ac:dyDescent="0.25">
      <c r="B114" s="6">
        <v>82</v>
      </c>
      <c r="C114" s="28">
        <f t="shared" ca="1" si="5"/>
        <v>0.57027733066692676</v>
      </c>
      <c r="D114" s="29">
        <f t="shared" ca="1" si="3"/>
        <v>16.892304668137296</v>
      </c>
      <c r="F114" s="9">
        <f t="shared" ca="1" si="4"/>
        <v>1</v>
      </c>
    </row>
    <row r="115" spans="2:6" s="6" customFormat="1" x14ac:dyDescent="0.25">
      <c r="B115" s="6">
        <v>83</v>
      </c>
      <c r="C115" s="28">
        <f t="shared" ca="1" si="5"/>
        <v>0.49259128091013149</v>
      </c>
      <c r="D115" s="29">
        <f t="shared" ca="1" si="3"/>
        <v>13.568768962119343</v>
      </c>
      <c r="F115" s="9">
        <f t="shared" ca="1" si="4"/>
        <v>1</v>
      </c>
    </row>
    <row r="116" spans="2:6" s="6" customFormat="1" x14ac:dyDescent="0.25">
      <c r="B116" s="6">
        <v>84</v>
      </c>
      <c r="C116" s="28">
        <f t="shared" ca="1" si="5"/>
        <v>0.85721829974731001</v>
      </c>
      <c r="D116" s="29">
        <f t="shared" ca="1" si="3"/>
        <v>38.928767735589339</v>
      </c>
      <c r="F116" s="9">
        <f t="shared" ca="1" si="4"/>
        <v>0</v>
      </c>
    </row>
    <row r="117" spans="2:6" s="6" customFormat="1" x14ac:dyDescent="0.25">
      <c r="B117" s="6">
        <v>85</v>
      </c>
      <c r="C117" s="28">
        <f t="shared" ca="1" si="5"/>
        <v>8.9754650833872129E-2</v>
      </c>
      <c r="D117" s="29">
        <f t="shared" ca="1" si="3"/>
        <v>1.8808220268483615</v>
      </c>
      <c r="F117" s="9">
        <f t="shared" ca="1" si="4"/>
        <v>1</v>
      </c>
    </row>
    <row r="118" spans="2:6" s="6" customFormat="1" x14ac:dyDescent="0.25">
      <c r="B118" s="6">
        <v>86</v>
      </c>
      <c r="C118" s="28">
        <f t="shared" ca="1" si="5"/>
        <v>0.26530153386847577</v>
      </c>
      <c r="D118" s="29">
        <f t="shared" ca="1" si="3"/>
        <v>6.165902282122242</v>
      </c>
      <c r="F118" s="9">
        <f t="shared" ca="1" si="4"/>
        <v>1</v>
      </c>
    </row>
    <row r="119" spans="2:6" s="6" customFormat="1" x14ac:dyDescent="0.25">
      <c r="B119" s="6">
        <v>87</v>
      </c>
      <c r="C119" s="28">
        <f t="shared" ca="1" si="5"/>
        <v>0.93100665739514132</v>
      </c>
      <c r="D119" s="29">
        <f t="shared" ca="1" si="3"/>
        <v>53.474905260546251</v>
      </c>
      <c r="F119" s="9">
        <f t="shared" ca="1" si="4"/>
        <v>0</v>
      </c>
    </row>
    <row r="120" spans="2:6" s="6" customFormat="1" x14ac:dyDescent="0.25">
      <c r="B120" s="6">
        <v>88</v>
      </c>
      <c r="C120" s="28">
        <f t="shared" ca="1" si="5"/>
        <v>0.89730041278321515</v>
      </c>
      <c r="D120" s="29">
        <f t="shared" ca="1" si="3"/>
        <v>45.518943627329264</v>
      </c>
      <c r="F120" s="9">
        <f t="shared" ca="1" si="4"/>
        <v>0</v>
      </c>
    </row>
    <row r="121" spans="2:6" s="6" customFormat="1" x14ac:dyDescent="0.25">
      <c r="B121" s="6">
        <v>89</v>
      </c>
      <c r="C121" s="28">
        <f t="shared" ca="1" si="5"/>
        <v>0.91451224972754097</v>
      </c>
      <c r="D121" s="29">
        <f t="shared" ca="1" si="3"/>
        <v>49.187643699418686</v>
      </c>
      <c r="F121" s="9">
        <f t="shared" ca="1" si="4"/>
        <v>0</v>
      </c>
    </row>
    <row r="122" spans="2:6" s="6" customFormat="1" x14ac:dyDescent="0.25">
      <c r="B122" s="6">
        <v>90</v>
      </c>
      <c r="C122" s="28">
        <f t="shared" ca="1" si="5"/>
        <v>0.12726419402514355</v>
      </c>
      <c r="D122" s="29">
        <f t="shared" ca="1" si="3"/>
        <v>2.7224479338571634</v>
      </c>
      <c r="F122" s="9">
        <f t="shared" ca="1" si="4"/>
        <v>1</v>
      </c>
    </row>
    <row r="123" spans="2:6" s="6" customFormat="1" x14ac:dyDescent="0.25">
      <c r="B123" s="6">
        <v>91</v>
      </c>
      <c r="C123" s="28">
        <f t="shared" ca="1" si="5"/>
        <v>0.929672733390557</v>
      </c>
      <c r="D123" s="29">
        <f t="shared" ca="1" si="3"/>
        <v>53.091913892645678</v>
      </c>
      <c r="F123" s="9">
        <f t="shared" ca="1" si="4"/>
        <v>0</v>
      </c>
    </row>
    <row r="124" spans="2:6" s="6" customFormat="1" x14ac:dyDescent="0.25">
      <c r="B124" s="6">
        <v>92</v>
      </c>
      <c r="C124" s="28">
        <f t="shared" ca="1" si="5"/>
        <v>0.52933697317078532</v>
      </c>
      <c r="D124" s="29">
        <f t="shared" ca="1" si="3"/>
        <v>15.072257659853063</v>
      </c>
      <c r="F124" s="9">
        <f t="shared" ca="1" si="4"/>
        <v>1</v>
      </c>
    </row>
    <row r="125" spans="2:6" s="6" customFormat="1" x14ac:dyDescent="0.25">
      <c r="B125" s="6">
        <v>93</v>
      </c>
      <c r="C125" s="28">
        <f t="shared" ca="1" si="5"/>
        <v>0.11794844999109588</v>
      </c>
      <c r="D125" s="29">
        <f t="shared" ca="1" si="3"/>
        <v>2.5100955592235068</v>
      </c>
      <c r="F125" s="9">
        <f t="shared" ca="1" si="4"/>
        <v>1</v>
      </c>
    </row>
    <row r="126" spans="2:6" s="6" customFormat="1" x14ac:dyDescent="0.25">
      <c r="B126" s="6">
        <v>94</v>
      </c>
      <c r="C126" s="28">
        <f t="shared" ca="1" si="5"/>
        <v>0.74745588291006759</v>
      </c>
      <c r="D126" s="29">
        <f t="shared" ca="1" si="3"/>
        <v>27.523386487608754</v>
      </c>
      <c r="F126" s="9">
        <f t="shared" ca="1" si="4"/>
        <v>0</v>
      </c>
    </row>
    <row r="127" spans="2:6" s="6" customFormat="1" x14ac:dyDescent="0.25">
      <c r="B127" s="6">
        <v>95</v>
      </c>
      <c r="C127" s="28">
        <f t="shared" ca="1" si="5"/>
        <v>0.85725917675907126</v>
      </c>
      <c r="D127" s="29">
        <f t="shared" ca="1" si="3"/>
        <v>38.934494360801303</v>
      </c>
      <c r="F127" s="9">
        <f t="shared" ca="1" si="4"/>
        <v>0</v>
      </c>
    </row>
    <row r="128" spans="2:6" s="6" customFormat="1" x14ac:dyDescent="0.25">
      <c r="B128" s="6">
        <v>96</v>
      </c>
      <c r="C128" s="28">
        <f t="shared" ca="1" si="5"/>
        <v>0.53215864923917455</v>
      </c>
      <c r="D128" s="29">
        <f t="shared" ca="1" si="3"/>
        <v>15.192520692735592</v>
      </c>
      <c r="F128" s="9">
        <f t="shared" ca="1" si="4"/>
        <v>1</v>
      </c>
    </row>
    <row r="129" spans="2:6" s="6" customFormat="1" x14ac:dyDescent="0.25">
      <c r="B129" s="6">
        <v>97</v>
      </c>
      <c r="C129" s="28">
        <f t="shared" ca="1" si="5"/>
        <v>0.29626708933669321</v>
      </c>
      <c r="D129" s="29">
        <f t="shared" ca="1" si="3"/>
        <v>7.0271276614475484</v>
      </c>
      <c r="F129" s="9">
        <f t="shared" ca="1" si="4"/>
        <v>1</v>
      </c>
    </row>
    <row r="130" spans="2:6" s="6" customFormat="1" x14ac:dyDescent="0.25">
      <c r="B130" s="6">
        <v>98</v>
      </c>
      <c r="C130" s="28">
        <f t="shared" ca="1" si="5"/>
        <v>0.16793145794902986</v>
      </c>
      <c r="D130" s="29">
        <f t="shared" ca="1" si="3"/>
        <v>3.676809185627218</v>
      </c>
      <c r="F130" s="9">
        <f t="shared" ca="1" si="4"/>
        <v>1</v>
      </c>
    </row>
    <row r="131" spans="2:6" s="6" customFormat="1" x14ac:dyDescent="0.25">
      <c r="B131" s="6">
        <v>99</v>
      </c>
      <c r="C131" s="28">
        <f t="shared" ca="1" si="5"/>
        <v>0.78239089145967788</v>
      </c>
      <c r="D131" s="29">
        <f t="shared" ca="1" si="3"/>
        <v>30.501098115513443</v>
      </c>
      <c r="F131" s="9">
        <f t="shared" ca="1" si="4"/>
        <v>0</v>
      </c>
    </row>
    <row r="132" spans="2:6" s="6" customFormat="1" x14ac:dyDescent="0.25">
      <c r="B132" s="6">
        <v>100</v>
      </c>
      <c r="C132" s="28">
        <f t="shared" ca="1" si="5"/>
        <v>0.25547807086925167</v>
      </c>
      <c r="D132" s="29">
        <f t="shared" ca="1" si="3"/>
        <v>5.9002594489735527</v>
      </c>
      <c r="F132" s="9">
        <f t="shared" ca="1" si="4"/>
        <v>1</v>
      </c>
    </row>
  </sheetData>
  <sheetProtection sheet="1" objects="1" scenarios="1"/>
  <hyperlinks>
    <hyperlink ref="G1" r:id="rId1" xr:uid="{00000000-0004-0000-0C00-000000000000}"/>
    <hyperlink ref="F15" r:id="rId2" xr:uid="{00000000-0004-0000-0C00-000001000000}"/>
  </hyperlinks>
  <pageMargins left="0.7" right="0.7" top="0.75" bottom="0.75" header="0.3" footer="0.3"/>
  <pageSetup orientation="portrait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1341"/>
  <sheetViews>
    <sheetView zoomScale="110" zoomScaleNormal="110" workbookViewId="0">
      <selection activeCell="A12" sqref="A12"/>
    </sheetView>
  </sheetViews>
  <sheetFormatPr defaultRowHeight="15" x14ac:dyDescent="0.25"/>
  <cols>
    <col min="1" max="1" width="11" customWidth="1"/>
    <col min="2" max="2" width="12" bestFit="1" customWidth="1"/>
    <col min="3" max="3" width="11.42578125" customWidth="1"/>
    <col min="4" max="4" width="9.85546875" customWidth="1"/>
    <col min="5" max="5" width="9.28515625" customWidth="1"/>
    <col min="6" max="8" width="12" bestFit="1" customWidth="1"/>
    <col min="11" max="11" width="15.28515625" customWidth="1"/>
    <col min="13" max="13" width="15.42578125" bestFit="1" customWidth="1"/>
  </cols>
  <sheetData>
    <row r="1" spans="1:16" ht="23.25" x14ac:dyDescent="0.35">
      <c r="A1" s="103" t="s">
        <v>48</v>
      </c>
    </row>
    <row r="2" spans="1:16" ht="21" x14ac:dyDescent="0.35">
      <c r="A2" s="35" t="s">
        <v>22</v>
      </c>
    </row>
    <row r="3" spans="1:16" ht="21" x14ac:dyDescent="0.35">
      <c r="A3" s="35" t="s">
        <v>275</v>
      </c>
    </row>
    <row r="5" spans="1:16" s="6" customFormat="1" x14ac:dyDescent="0.25">
      <c r="A5" s="6" t="s">
        <v>23</v>
      </c>
      <c r="D5" s="6" t="s">
        <v>33</v>
      </c>
      <c r="E5" s="6" t="s">
        <v>30</v>
      </c>
      <c r="F5" s="6" t="s">
        <v>31</v>
      </c>
      <c r="G5" s="6" t="s">
        <v>32</v>
      </c>
      <c r="H5" s="6" t="s">
        <v>39</v>
      </c>
      <c r="K5" s="6" t="str">
        <f>Normal!D32</f>
        <v>Samples from x_i</v>
      </c>
    </row>
    <row r="6" spans="1:16" x14ac:dyDescent="0.25">
      <c r="A6" t="s">
        <v>24</v>
      </c>
      <c r="B6">
        <f>Normal!C5</f>
        <v>0</v>
      </c>
      <c r="D6">
        <v>1</v>
      </c>
      <c r="E6" s="25">
        <f>B10</f>
        <v>-3</v>
      </c>
      <c r="F6">
        <f>NORMDIST(E6,$B$6,$B$7,FALSE)</f>
        <v>4.4318484119380075E-3</v>
      </c>
      <c r="G6" t="e">
        <f>IF(OR($E6&gt;$B$9,$E6&lt;$B$8),NA(),$F6)</f>
        <v>#N/A</v>
      </c>
      <c r="H6">
        <f>NORMDIST(E6,$B$6,$B$7,TRUE)</f>
        <v>1.3498980316300933E-3</v>
      </c>
      <c r="I6" t="e">
        <f>IF(OR($E6&gt;$B$9,$E6&lt;$B$8),NA(),$H6)</f>
        <v>#N/A</v>
      </c>
      <c r="K6" s="37">
        <f ca="1">Normal!D33</f>
        <v>-1.6977690030152339</v>
      </c>
      <c r="L6" t="s">
        <v>28</v>
      </c>
      <c r="M6">
        <f ca="1">MIN($K$6:$K$105)</f>
        <v>-3.4119711731105986</v>
      </c>
    </row>
    <row r="7" spans="1:16" x14ac:dyDescent="0.25">
      <c r="A7" t="s">
        <v>25</v>
      </c>
      <c r="B7">
        <f>Normal!C6</f>
        <v>1</v>
      </c>
      <c r="D7">
        <v>2</v>
      </c>
      <c r="E7" s="25">
        <f>($B$11-$B$10)/99+E6</f>
        <v>-2.9393939393939394</v>
      </c>
      <c r="F7">
        <f t="shared" ref="F7:F70" si="0">NORMDIST(E7,$B$6,$B$7,FALSE)</f>
        <v>5.3057884252876069E-3</v>
      </c>
      <c r="G7" t="e">
        <f t="shared" ref="G7:G70" si="1">IF(OR($E7&gt;$B$9,$E7&lt;$B$8),NA(),$F7)</f>
        <v>#N/A</v>
      </c>
      <c r="H7">
        <f t="shared" ref="H7:H70" si="2">NORMDIST(E7,$B$6,$B$7,TRUE)</f>
        <v>1.6442740007662855E-3</v>
      </c>
      <c r="I7" t="e">
        <f t="shared" ref="I7:I70" si="3">IF(OR($E7&gt;$B$9,$E7&lt;$B$8),NA(),$H7)</f>
        <v>#N/A</v>
      </c>
      <c r="K7" s="37">
        <f ca="1">Normal!D34</f>
        <v>-1.4539350614160449</v>
      </c>
      <c r="L7" t="s">
        <v>29</v>
      </c>
      <c r="M7">
        <f ca="1">MAX($K$6:$K$105)</f>
        <v>2.7267680460276709</v>
      </c>
    </row>
    <row r="8" spans="1:16" x14ac:dyDescent="0.25">
      <c r="A8" t="s">
        <v>26</v>
      </c>
      <c r="B8">
        <f>Normal!D12</f>
        <v>-1</v>
      </c>
      <c r="D8">
        <v>3</v>
      </c>
      <c r="E8" s="25">
        <f t="shared" ref="E8:E71" si="4">($B$11-$B$10)/99+E7</f>
        <v>-2.8787878787878789</v>
      </c>
      <c r="F8">
        <f t="shared" si="0"/>
        <v>6.3287764285827617E-3</v>
      </c>
      <c r="G8" t="e">
        <f t="shared" si="1"/>
        <v>#N/A</v>
      </c>
      <c r="H8">
        <f t="shared" si="2"/>
        <v>1.9960337285582514E-3</v>
      </c>
      <c r="I8" t="e">
        <f t="shared" si="3"/>
        <v>#N/A</v>
      </c>
      <c r="K8" s="37">
        <f ca="1">Normal!D35</f>
        <v>-0.87149694725344817</v>
      </c>
    </row>
    <row r="9" spans="1:16" x14ac:dyDescent="0.25">
      <c r="A9" t="s">
        <v>27</v>
      </c>
      <c r="B9">
        <f>Normal!D13</f>
        <v>1</v>
      </c>
      <c r="D9">
        <v>4</v>
      </c>
      <c r="E9" s="25">
        <f t="shared" si="4"/>
        <v>-2.8181818181818183</v>
      </c>
      <c r="F9">
        <f t="shared" si="0"/>
        <v>7.5213253487093198E-3</v>
      </c>
      <c r="G9" t="e">
        <f t="shared" si="1"/>
        <v>#N/A</v>
      </c>
      <c r="H9">
        <f t="shared" si="2"/>
        <v>2.4148226279699665E-3</v>
      </c>
      <c r="I9" t="e">
        <f t="shared" si="3"/>
        <v>#N/A</v>
      </c>
      <c r="K9" s="37">
        <f ca="1">Normal!D36</f>
        <v>-0.3048882486316547</v>
      </c>
      <c r="M9" t="s">
        <v>53</v>
      </c>
      <c r="N9" t="s">
        <v>54</v>
      </c>
    </row>
    <row r="10" spans="1:16" x14ac:dyDescent="0.25">
      <c r="A10" t="s">
        <v>28</v>
      </c>
      <c r="B10">
        <f>B6-(3*B7)</f>
        <v>-3</v>
      </c>
      <c r="D10">
        <v>5</v>
      </c>
      <c r="E10" s="25">
        <f t="shared" si="4"/>
        <v>-2.7575757575757578</v>
      </c>
      <c r="F10">
        <f t="shared" si="0"/>
        <v>8.9058175134160335E-3</v>
      </c>
      <c r="G10" t="e">
        <f t="shared" si="1"/>
        <v>#N/A</v>
      </c>
      <c r="H10">
        <f t="shared" si="2"/>
        <v>2.9115859119061113E-3</v>
      </c>
      <c r="I10" t="e">
        <f t="shared" si="3"/>
        <v>#N/A</v>
      </c>
      <c r="K10" s="37">
        <f ca="1">Normal!D37</f>
        <v>0.64787226538788667</v>
      </c>
      <c r="L10">
        <v>1</v>
      </c>
      <c r="M10">
        <f ca="1">M6</f>
        <v>-3.4119711731105986</v>
      </c>
      <c r="N10">
        <f ca="1">O10</f>
        <v>1</v>
      </c>
      <c r="O10">
        <f t="shared" ref="O10:O16" ca="1" si="5">COUNTIF($K$6:$K$105,"&lt;"&amp;M11)</f>
        <v>1</v>
      </c>
      <c r="P10" s="38">
        <f ca="1">M6</f>
        <v>-3.4119711731105986</v>
      </c>
    </row>
    <row r="11" spans="1:16" x14ac:dyDescent="0.25">
      <c r="A11" t="s">
        <v>29</v>
      </c>
      <c r="B11">
        <f>B6+(3*B7)</f>
        <v>3</v>
      </c>
      <c r="D11">
        <v>6</v>
      </c>
      <c r="E11" s="25">
        <f t="shared" si="4"/>
        <v>-2.6969696969696972</v>
      </c>
      <c r="F11">
        <f t="shared" si="0"/>
        <v>1.0506498522150199E-2</v>
      </c>
      <c r="G11" t="e">
        <f t="shared" si="1"/>
        <v>#N/A</v>
      </c>
      <c r="H11">
        <f t="shared" si="2"/>
        <v>3.4986818829475623E-3</v>
      </c>
      <c r="I11" t="e">
        <f t="shared" si="3"/>
        <v>#N/A</v>
      </c>
      <c r="K11" s="37">
        <f ca="1">Normal!D38</f>
        <v>0.7396644359958312</v>
      </c>
      <c r="L11">
        <v>2</v>
      </c>
      <c r="M11">
        <f ca="1">M10+($M$7-$M$6)/7</f>
        <v>-2.5350084275194171</v>
      </c>
      <c r="N11">
        <f t="shared" ref="N11:N16" ca="1" si="6">O11-O10</f>
        <v>3</v>
      </c>
      <c r="O11">
        <f t="shared" ca="1" si="5"/>
        <v>4</v>
      </c>
    </row>
    <row r="12" spans="1:16" x14ac:dyDescent="0.25">
      <c r="D12">
        <v>7</v>
      </c>
      <c r="E12" s="25">
        <f t="shared" si="4"/>
        <v>-2.6363636363636367</v>
      </c>
      <c r="F12">
        <f t="shared" si="0"/>
        <v>1.2349432791521104E-2</v>
      </c>
      <c r="G12" t="e">
        <f t="shared" si="1"/>
        <v>#N/A</v>
      </c>
      <c r="H12">
        <f t="shared" si="2"/>
        <v>4.1899937205068204E-3</v>
      </c>
      <c r="I12" t="e">
        <f t="shared" si="3"/>
        <v>#N/A</v>
      </c>
      <c r="K12" s="37">
        <f ca="1">Normal!D39</f>
        <v>4.2300544375984822E-2</v>
      </c>
      <c r="L12">
        <v>3</v>
      </c>
      <c r="M12">
        <f t="shared" ref="M12:M17" ca="1" si="7">M11+($M$7-$M$6)/7</f>
        <v>-1.6580456819282356</v>
      </c>
      <c r="N12">
        <f t="shared" ca="1" si="6"/>
        <v>16</v>
      </c>
      <c r="O12">
        <f t="shared" ca="1" si="5"/>
        <v>20</v>
      </c>
    </row>
    <row r="13" spans="1:16" x14ac:dyDescent="0.25">
      <c r="D13">
        <v>8</v>
      </c>
      <c r="E13" s="25">
        <f t="shared" si="4"/>
        <v>-2.5757575757575761</v>
      </c>
      <c r="F13">
        <f t="shared" si="0"/>
        <v>1.4462414797634179E-2</v>
      </c>
      <c r="G13" t="e">
        <f t="shared" si="1"/>
        <v>#N/A</v>
      </c>
      <c r="H13">
        <f t="shared" si="2"/>
        <v>5.0010372612480413E-3</v>
      </c>
      <c r="I13" t="e">
        <f t="shared" si="3"/>
        <v>#N/A</v>
      </c>
      <c r="K13" s="37">
        <f ca="1">Normal!D40</f>
        <v>-0.16316907402947128</v>
      </c>
      <c r="L13">
        <v>4</v>
      </c>
      <c r="M13">
        <f t="shared" ca="1" si="7"/>
        <v>-0.78108293633705428</v>
      </c>
      <c r="N13">
        <f t="shared" ca="1" si="6"/>
        <v>36</v>
      </c>
      <c r="O13">
        <f t="shared" ca="1" si="5"/>
        <v>56</v>
      </c>
      <c r="P13" s="38">
        <f ca="1">M13</f>
        <v>-0.78108293633705428</v>
      </c>
    </row>
    <row r="14" spans="1:16" x14ac:dyDescent="0.25">
      <c r="D14">
        <v>9</v>
      </c>
      <c r="E14" s="25">
        <f t="shared" si="4"/>
        <v>-2.5151515151515156</v>
      </c>
      <c r="F14">
        <f t="shared" si="0"/>
        <v>1.6874830186622232E-2</v>
      </c>
      <c r="G14" t="e">
        <f t="shared" si="1"/>
        <v>#N/A</v>
      </c>
      <c r="H14">
        <f t="shared" si="2"/>
        <v>5.9490619098435142E-3</v>
      </c>
      <c r="I14" t="e">
        <f t="shared" si="3"/>
        <v>#N/A</v>
      </c>
      <c r="K14" s="37">
        <f ca="1">Normal!D41</f>
        <v>-0.24696254425743644</v>
      </c>
      <c r="L14">
        <v>5</v>
      </c>
      <c r="M14">
        <f t="shared" ca="1" si="7"/>
        <v>9.5879809254127091E-2</v>
      </c>
      <c r="N14">
        <f t="shared" ca="1" si="6"/>
        <v>33</v>
      </c>
      <c r="O14">
        <f t="shared" ca="1" si="5"/>
        <v>89</v>
      </c>
    </row>
    <row r="15" spans="1:16" x14ac:dyDescent="0.25">
      <c r="D15">
        <v>10</v>
      </c>
      <c r="E15" s="25">
        <f t="shared" si="4"/>
        <v>-2.454545454545455</v>
      </c>
      <c r="F15">
        <f t="shared" si="0"/>
        <v>1.961746128574738E-2</v>
      </c>
      <c r="G15" t="e">
        <f t="shared" si="1"/>
        <v>#N/A</v>
      </c>
      <c r="H15">
        <f t="shared" si="2"/>
        <v>7.0531414736897582E-3</v>
      </c>
      <c r="I15" t="e">
        <f t="shared" si="3"/>
        <v>#N/A</v>
      </c>
      <c r="K15" s="37">
        <f ca="1">Normal!D42</f>
        <v>0.98571587373605185</v>
      </c>
      <c r="L15">
        <v>6</v>
      </c>
      <c r="M15">
        <f t="shared" ca="1" si="7"/>
        <v>0.97284255484530846</v>
      </c>
      <c r="N15">
        <f t="shared" ca="1" si="6"/>
        <v>8</v>
      </c>
      <c r="O15">
        <f t="shared" ca="1" si="5"/>
        <v>97</v>
      </c>
    </row>
    <row r="16" spans="1:16" x14ac:dyDescent="0.25">
      <c r="D16">
        <v>11</v>
      </c>
      <c r="E16" s="25">
        <f t="shared" si="4"/>
        <v>-2.3939393939393945</v>
      </c>
      <c r="F16">
        <f t="shared" si="0"/>
        <v>2.2722232145095403E-2</v>
      </c>
      <c r="G16" t="e">
        <f t="shared" si="1"/>
        <v>#N/A</v>
      </c>
      <c r="H16">
        <f t="shared" si="2"/>
        <v>8.334251400695665E-3</v>
      </c>
      <c r="I16" t="e">
        <f t="shared" si="3"/>
        <v>#N/A</v>
      </c>
      <c r="K16" s="37">
        <f ca="1">Normal!D43</f>
        <v>-0.17480026868955889</v>
      </c>
      <c r="L16">
        <v>7</v>
      </c>
      <c r="M16">
        <f t="shared" ca="1" si="7"/>
        <v>1.8498053004364898</v>
      </c>
      <c r="N16">
        <f t="shared" ca="1" si="6"/>
        <v>2</v>
      </c>
      <c r="O16">
        <f t="shared" ca="1" si="5"/>
        <v>99</v>
      </c>
      <c r="P16" s="38">
        <f ca="1">M7</f>
        <v>2.7267680460276709</v>
      </c>
    </row>
    <row r="17" spans="4:15" x14ac:dyDescent="0.25">
      <c r="D17">
        <v>12</v>
      </c>
      <c r="E17" s="25">
        <f t="shared" si="4"/>
        <v>-2.3333333333333339</v>
      </c>
      <c r="F17">
        <f t="shared" si="0"/>
        <v>2.6221889093709462E-2</v>
      </c>
      <c r="G17" t="e">
        <f t="shared" si="1"/>
        <v>#N/A</v>
      </c>
      <c r="H17">
        <f t="shared" si="2"/>
        <v>9.8153286286453215E-3</v>
      </c>
      <c r="I17" t="e">
        <f t="shared" si="3"/>
        <v>#N/A</v>
      </c>
      <c r="K17" s="37">
        <f ca="1">Normal!D44</f>
        <v>-0.48089654059128822</v>
      </c>
      <c r="L17">
        <v>8</v>
      </c>
      <c r="M17">
        <f t="shared" ca="1" si="7"/>
        <v>2.7267680460276713</v>
      </c>
    </row>
    <row r="18" spans="4:15" x14ac:dyDescent="0.25">
      <c r="D18">
        <v>13</v>
      </c>
      <c r="E18" s="25">
        <f t="shared" si="4"/>
        <v>-2.2727272727272734</v>
      </c>
      <c r="F18">
        <f t="shared" si="0"/>
        <v>3.014961391680061E-2</v>
      </c>
      <c r="G18" t="e">
        <f t="shared" si="1"/>
        <v>#N/A</v>
      </c>
      <c r="H18">
        <f t="shared" si="2"/>
        <v>1.1521310043880902E-2</v>
      </c>
      <c r="I18" t="e">
        <f t="shared" si="3"/>
        <v>#N/A</v>
      </c>
      <c r="K18" s="37">
        <f ca="1">Normal!D45</f>
        <v>0.74612553517316682</v>
      </c>
    </row>
    <row r="19" spans="4:15" x14ac:dyDescent="0.25">
      <c r="D19">
        <v>14</v>
      </c>
      <c r="E19" s="25">
        <f t="shared" si="4"/>
        <v>-2.2121212121212128</v>
      </c>
      <c r="F19">
        <f t="shared" si="0"/>
        <v>3.4538568156730495E-2</v>
      </c>
      <c r="G19" t="e">
        <f t="shared" si="1"/>
        <v>#N/A</v>
      </c>
      <c r="H19">
        <f t="shared" si="2"/>
        <v>1.3479145412625045E-2</v>
      </c>
      <c r="I19" t="e">
        <f t="shared" si="3"/>
        <v>#N/A</v>
      </c>
      <c r="K19" s="37">
        <f ca="1">Normal!D46</f>
        <v>0.70735718464535691</v>
      </c>
    </row>
    <row r="20" spans="4:15" x14ac:dyDescent="0.25">
      <c r="D20">
        <v>15</v>
      </c>
      <c r="E20" s="25">
        <f t="shared" si="4"/>
        <v>-2.1515151515151523</v>
      </c>
      <c r="F20">
        <f t="shared" si="0"/>
        <v>3.9421368704028223E-2</v>
      </c>
      <c r="G20" t="e">
        <f t="shared" si="1"/>
        <v>#N/A</v>
      </c>
      <c r="H20">
        <f t="shared" si="2"/>
        <v>1.5717780606608441E-2</v>
      </c>
      <c r="I20" t="e">
        <f t="shared" si="3"/>
        <v>#N/A</v>
      </c>
      <c r="K20" s="37">
        <f ca="1">Normal!D47</f>
        <v>-0.99024017972162914</v>
      </c>
    </row>
    <row r="21" spans="4:15" x14ac:dyDescent="0.25">
      <c r="D21">
        <v>16</v>
      </c>
      <c r="E21" s="25">
        <f t="shared" si="4"/>
        <v>-2.0909090909090917</v>
      </c>
      <c r="F21">
        <f t="shared" si="0"/>
        <v>4.4829496758592657E-2</v>
      </c>
      <c r="G21" t="e">
        <f t="shared" si="1"/>
        <v>#N/A</v>
      </c>
      <c r="H21">
        <f t="shared" si="2"/>
        <v>1.8268107011540611E-2</v>
      </c>
      <c r="I21" t="e">
        <f t="shared" si="3"/>
        <v>#N/A</v>
      </c>
      <c r="K21" s="37">
        <f ca="1">Normal!D48</f>
        <v>0.39751239699950403</v>
      </c>
      <c r="N21">
        <f ca="1">SUM(N10:N19)</f>
        <v>99</v>
      </c>
      <c r="O21">
        <f ca="1">SUM(O10:O19)</f>
        <v>366</v>
      </c>
    </row>
    <row r="22" spans="4:15" x14ac:dyDescent="0.25">
      <c r="D22">
        <v>17</v>
      </c>
      <c r="E22" s="25">
        <f t="shared" si="4"/>
        <v>-2.0303030303030312</v>
      </c>
      <c r="F22">
        <f t="shared" si="0"/>
        <v>5.0792644375803962E-2</v>
      </c>
      <c r="G22" t="e">
        <f t="shared" si="1"/>
        <v>#N/A</v>
      </c>
      <c r="H22">
        <f t="shared" si="2"/>
        <v>2.116287319669611E-2</v>
      </c>
      <c r="I22" t="e">
        <f t="shared" si="3"/>
        <v>#N/A</v>
      </c>
      <c r="K22" s="37">
        <f ca="1">Normal!D49</f>
        <v>-0.44313378692398753</v>
      </c>
    </row>
    <row r="23" spans="4:15" x14ac:dyDescent="0.25">
      <c r="D23">
        <v>18</v>
      </c>
      <c r="E23" s="25">
        <f t="shared" si="4"/>
        <v>-1.9696969696969706</v>
      </c>
      <c r="F23">
        <f t="shared" si="0"/>
        <v>5.7338005124812817E-2</v>
      </c>
      <c r="G23" t="e">
        <f t="shared" si="1"/>
        <v>#N/A</v>
      </c>
      <c r="H23">
        <f t="shared" si="2"/>
        <v>2.4436555248634168E-2</v>
      </c>
      <c r="I23" t="e">
        <f t="shared" si="3"/>
        <v>#N/A</v>
      </c>
      <c r="K23" s="37">
        <f ca="1">Normal!D50</f>
        <v>-1.238200013434396</v>
      </c>
    </row>
    <row r="24" spans="4:15" x14ac:dyDescent="0.25">
      <c r="D24">
        <v>19</v>
      </c>
      <c r="E24" s="25">
        <f t="shared" si="4"/>
        <v>-1.9090909090909101</v>
      </c>
      <c r="F24">
        <f t="shared" si="0"/>
        <v>6.4489517820932679E-2</v>
      </c>
      <c r="G24" t="e">
        <f t="shared" si="1"/>
        <v>#N/A</v>
      </c>
      <c r="H24">
        <f t="shared" si="2"/>
        <v>2.8125182640983355E-2</v>
      </c>
      <c r="I24" t="e">
        <f t="shared" si="3"/>
        <v>#N/A</v>
      </c>
      <c r="K24" s="37">
        <f ca="1">Normal!D51</f>
        <v>0.66460225148904828</v>
      </c>
    </row>
    <row r="25" spans="4:15" x14ac:dyDescent="0.25">
      <c r="D25">
        <v>20</v>
      </c>
      <c r="E25" s="25">
        <f t="shared" si="4"/>
        <v>-1.8484848484848495</v>
      </c>
      <c r="F25">
        <f t="shared" si="0"/>
        <v>7.2267074782332588E-2</v>
      </c>
      <c r="G25" t="e">
        <f t="shared" si="1"/>
        <v>#N/A</v>
      </c>
      <c r="H25">
        <f t="shared" si="2"/>
        <v>3.2266117130694411E-2</v>
      </c>
      <c r="I25" t="e">
        <f t="shared" si="3"/>
        <v>#N/A</v>
      </c>
      <c r="K25" s="37">
        <f ca="1">Normal!D52</f>
        <v>-0.41874545742011854</v>
      </c>
    </row>
    <row r="26" spans="4:15" x14ac:dyDescent="0.25">
      <c r="D26">
        <v>21</v>
      </c>
      <c r="E26" s="25">
        <f t="shared" si="4"/>
        <v>-1.787878787878789</v>
      </c>
      <c r="F26">
        <f t="shared" si="0"/>
        <v>8.0685708523163494E-2</v>
      </c>
      <c r="G26" t="e">
        <f t="shared" si="1"/>
        <v>#N/A</v>
      </c>
      <c r="H26">
        <f t="shared" si="2"/>
        <v>3.6897782940069825E-2</v>
      </c>
      <c r="I26" t="e">
        <f t="shared" si="3"/>
        <v>#N/A</v>
      </c>
      <c r="K26" s="37">
        <f ca="1">Normal!D53</f>
        <v>0.68584717920282723</v>
      </c>
    </row>
    <row r="27" spans="4:15" x14ac:dyDescent="0.25">
      <c r="D27">
        <v>22</v>
      </c>
      <c r="E27" s="25">
        <f t="shared" si="4"/>
        <v>-1.7272727272727284</v>
      </c>
      <c r="F27">
        <f t="shared" si="0"/>
        <v>8.9754773141324101E-2</v>
      </c>
      <c r="G27" t="e">
        <f t="shared" si="1"/>
        <v>#N/A</v>
      </c>
      <c r="H27">
        <f t="shared" si="2"/>
        <v>4.2059347398956684E-2</v>
      </c>
      <c r="I27" t="e">
        <f t="shared" si="3"/>
        <v>#N/A</v>
      </c>
      <c r="K27" s="37">
        <f ca="1">Normal!D54</f>
        <v>-0.40956983675897307</v>
      </c>
    </row>
    <row r="28" spans="4:15" x14ac:dyDescent="0.25">
      <c r="D28">
        <v>23</v>
      </c>
      <c r="E28" s="25">
        <f t="shared" si="4"/>
        <v>-1.6666666666666679</v>
      </c>
      <c r="F28">
        <f t="shared" si="0"/>
        <v>9.9477138792748498E-2</v>
      </c>
      <c r="G28" t="e">
        <f t="shared" si="1"/>
        <v>#N/A</v>
      </c>
      <c r="H28">
        <f t="shared" si="2"/>
        <v>4.7790352272814585E-2</v>
      </c>
      <c r="I28" t="e">
        <f t="shared" si="3"/>
        <v>#N/A</v>
      </c>
      <c r="K28" s="37">
        <f ca="1">Normal!D55</f>
        <v>0.87778239045553808</v>
      </c>
    </row>
    <row r="29" spans="4:15" x14ac:dyDescent="0.25">
      <c r="D29">
        <v>24</v>
      </c>
      <c r="E29" s="25">
        <f t="shared" si="4"/>
        <v>-1.6060606060606073</v>
      </c>
      <c r="F29">
        <f t="shared" si="0"/>
        <v>0.10984841946506989</v>
      </c>
      <c r="G29" t="e">
        <f t="shared" si="1"/>
        <v>#N/A</v>
      </c>
      <c r="H29">
        <f t="shared" si="2"/>
        <v>5.4130297174047132E-2</v>
      </c>
      <c r="I29" t="e">
        <f t="shared" si="3"/>
        <v>#N/A</v>
      </c>
      <c r="K29" s="37">
        <f ca="1">Normal!D56</f>
        <v>-0.10854365952251428</v>
      </c>
    </row>
    <row r="30" spans="4:15" x14ac:dyDescent="0.25">
      <c r="D30">
        <v>25</v>
      </c>
      <c r="E30" s="25">
        <f t="shared" si="4"/>
        <v>-1.5454545454545467</v>
      </c>
      <c r="F30">
        <f t="shared" si="0"/>
        <v>0.12085625567149869</v>
      </c>
      <c r="G30" t="e">
        <f t="shared" si="1"/>
        <v>#N/A</v>
      </c>
      <c r="H30">
        <f t="shared" si="2"/>
        <v>6.1118177724005691E-2</v>
      </c>
      <c r="I30" t="e">
        <f t="shared" si="3"/>
        <v>#N/A</v>
      </c>
      <c r="K30" s="37">
        <f ca="1">Normal!D57</f>
        <v>0.52590097706312866</v>
      </c>
    </row>
    <row r="31" spans="4:15" x14ac:dyDescent="0.25">
      <c r="D31">
        <v>26</v>
      </c>
      <c r="E31" s="25">
        <f t="shared" si="4"/>
        <v>-1.4848484848484862</v>
      </c>
      <c r="F31">
        <f t="shared" si="0"/>
        <v>0.13247967458475365</v>
      </c>
      <c r="G31" t="e">
        <f t="shared" si="1"/>
        <v>#N/A</v>
      </c>
      <c r="H31">
        <f t="shared" si="2"/>
        <v>6.8791982473473082E-2</v>
      </c>
      <c r="I31" t="e">
        <f t="shared" si="3"/>
        <v>#N/A</v>
      </c>
      <c r="K31" s="37">
        <f ca="1">Normal!D58</f>
        <v>-1.3207011576388752</v>
      </c>
    </row>
    <row r="32" spans="4:15" x14ac:dyDescent="0.25">
      <c r="D32">
        <v>27</v>
      </c>
      <c r="E32" s="25">
        <f t="shared" si="4"/>
        <v>-1.4242424242424256</v>
      </c>
      <c r="F32">
        <f t="shared" si="0"/>
        <v>0.14468855043375228</v>
      </c>
      <c r="G32" t="e">
        <f t="shared" si="1"/>
        <v>#N/A</v>
      </c>
      <c r="H32">
        <f t="shared" si="2"/>
        <v>7.7188153966660872E-2</v>
      </c>
      <c r="I32" t="e">
        <f t="shared" si="3"/>
        <v>#N/A</v>
      </c>
      <c r="K32" s="37">
        <f ca="1">Normal!D59</f>
        <v>0.78925706628776882</v>
      </c>
    </row>
    <row r="33" spans="4:11" x14ac:dyDescent="0.25">
      <c r="D33">
        <v>28</v>
      </c>
      <c r="E33" s="25">
        <f t="shared" si="4"/>
        <v>-1.3636363636363651</v>
      </c>
      <c r="F33">
        <f t="shared" si="0"/>
        <v>0.15744318761884338</v>
      </c>
      <c r="G33" t="e">
        <f t="shared" si="1"/>
        <v>#N/A</v>
      </c>
      <c r="H33">
        <f t="shared" si="2"/>
        <v>8.6341020709373967E-2</v>
      </c>
      <c r="I33" t="e">
        <f t="shared" si="3"/>
        <v>#N/A</v>
      </c>
      <c r="K33" s="37">
        <f ca="1">Normal!D60</f>
        <v>-0.92552957256820012</v>
      </c>
    </row>
    <row r="34" spans="4:11" x14ac:dyDescent="0.25">
      <c r="D34">
        <v>29</v>
      </c>
      <c r="E34" s="25">
        <f t="shared" si="4"/>
        <v>-1.3030303030303045</v>
      </c>
      <c r="F34">
        <f t="shared" si="0"/>
        <v>0.17069404790904771</v>
      </c>
      <c r="G34" t="e">
        <f t="shared" si="1"/>
        <v>#N/A</v>
      </c>
      <c r="H34">
        <f t="shared" si="2"/>
        <v>9.628220813361929E-2</v>
      </c>
      <c r="I34" t="e">
        <f t="shared" si="3"/>
        <v>#N/A</v>
      </c>
      <c r="K34" s="37">
        <f ca="1">Normal!D61</f>
        <v>-0.72278345904727925</v>
      </c>
    </row>
    <row r="35" spans="4:11" x14ac:dyDescent="0.25">
      <c r="D35">
        <v>30</v>
      </c>
      <c r="E35" s="25">
        <f t="shared" si="4"/>
        <v>-1.242424242424244</v>
      </c>
      <c r="F35">
        <f t="shared" si="0"/>
        <v>0.18438164123366113</v>
      </c>
      <c r="G35" t="e">
        <f t="shared" si="1"/>
        <v>#N/A</v>
      </c>
      <c r="H35">
        <f t="shared" si="2"/>
        <v>0.10704003789347616</v>
      </c>
      <c r="I35" t="e">
        <f t="shared" si="3"/>
        <v>#N/A</v>
      </c>
      <c r="K35" s="37">
        <f ca="1">Normal!D62</f>
        <v>1.0836304895711626</v>
      </c>
    </row>
    <row r="36" spans="4:11" x14ac:dyDescent="0.25">
      <c r="D36">
        <v>31</v>
      </c>
      <c r="E36" s="25">
        <f t="shared" si="4"/>
        <v>-1.1818181818181834</v>
      </c>
      <c r="F36">
        <f t="shared" si="0"/>
        <v>0.19843659696308485</v>
      </c>
      <c r="G36" t="e">
        <f t="shared" si="1"/>
        <v>#N/A</v>
      </c>
      <c r="H36">
        <f t="shared" si="2"/>
        <v>0.1186389259341388</v>
      </c>
      <c r="I36" t="e">
        <f t="shared" si="3"/>
        <v>#N/A</v>
      </c>
      <c r="K36" s="37">
        <f ca="1">Normal!D63</f>
        <v>-0.88089059258483648</v>
      </c>
    </row>
    <row r="37" spans="4:11" x14ac:dyDescent="0.25">
      <c r="D37">
        <v>32</v>
      </c>
      <c r="E37" s="25">
        <f t="shared" si="4"/>
        <v>-1.1212121212121229</v>
      </c>
      <c r="F37">
        <f t="shared" si="0"/>
        <v>0.21277992921081881</v>
      </c>
      <c r="G37" t="e">
        <f t="shared" si="1"/>
        <v>#N/A</v>
      </c>
      <c r="H37">
        <f t="shared" si="2"/>
        <v>0.13109879070172942</v>
      </c>
      <c r="I37" t="e">
        <f t="shared" si="3"/>
        <v>#N/A</v>
      </c>
      <c r="K37" s="37">
        <f ca="1">Normal!D64</f>
        <v>0.9027158251862285</v>
      </c>
    </row>
    <row r="38" spans="4:11" x14ac:dyDescent="0.25">
      <c r="D38">
        <v>33</v>
      </c>
      <c r="E38" s="25">
        <f t="shared" si="4"/>
        <v>-1.0606060606060623</v>
      </c>
      <c r="F38">
        <f t="shared" si="0"/>
        <v>0.22732350563136053</v>
      </c>
      <c r="G38" t="e">
        <f t="shared" si="1"/>
        <v>#N/A</v>
      </c>
      <c r="H38">
        <f t="shared" si="2"/>
        <v>0.14443448356198216</v>
      </c>
      <c r="I38" t="e">
        <f t="shared" si="3"/>
        <v>#N/A</v>
      </c>
      <c r="K38" s="37">
        <f ca="1">Normal!D65</f>
        <v>6.111974479328558E-2</v>
      </c>
    </row>
    <row r="39" spans="4:11" x14ac:dyDescent="0.25">
      <c r="D39">
        <v>34</v>
      </c>
      <c r="E39" s="25">
        <f t="shared" si="4"/>
        <v>-1.0000000000000018</v>
      </c>
      <c r="F39">
        <f t="shared" si="0"/>
        <v>0.24197072451914292</v>
      </c>
      <c r="G39">
        <f t="shared" si="1"/>
        <v>0.24197072451914292</v>
      </c>
      <c r="H39">
        <f t="shared" si="2"/>
        <v>0.1586552539314566</v>
      </c>
      <c r="I39">
        <f t="shared" si="3"/>
        <v>0.1586552539314566</v>
      </c>
      <c r="K39" s="37">
        <f ca="1">Normal!D66</f>
        <v>-2.1579857650779348E-2</v>
      </c>
    </row>
    <row r="40" spans="4:11" x14ac:dyDescent="0.25">
      <c r="D40">
        <v>35</v>
      </c>
      <c r="E40" s="25">
        <f t="shared" si="4"/>
        <v>-0.93939393939394122</v>
      </c>
      <c r="F40">
        <f t="shared" si="0"/>
        <v>0.25661739984324367</v>
      </c>
      <c r="G40">
        <f t="shared" si="1"/>
        <v>0.25661739984324367</v>
      </c>
      <c r="H40">
        <f t="shared" si="2"/>
        <v>0.17376426176168647</v>
      </c>
      <c r="I40">
        <f t="shared" si="3"/>
        <v>0.17376426176168647</v>
      </c>
      <c r="K40" s="37">
        <f ca="1">Normal!D67</f>
        <v>2.7267680460276709</v>
      </c>
    </row>
    <row r="41" spans="4:11" x14ac:dyDescent="0.25">
      <c r="D41">
        <v>36</v>
      </c>
      <c r="E41" s="25">
        <f t="shared" si="4"/>
        <v>-0.87878787878788067</v>
      </c>
      <c r="F41">
        <f t="shared" si="0"/>
        <v>0.27115284832047765</v>
      </c>
      <c r="G41">
        <f t="shared" si="1"/>
        <v>0.27115284832047765</v>
      </c>
      <c r="H41">
        <f t="shared" si="2"/>
        <v>0.18975814982832434</v>
      </c>
      <c r="I41">
        <f t="shared" si="3"/>
        <v>0.18975814982832434</v>
      </c>
      <c r="K41" s="37">
        <f ca="1">Normal!D68</f>
        <v>-0.64989913819306844</v>
      </c>
    </row>
    <row r="42" spans="4:11" x14ac:dyDescent="0.25">
      <c r="D42">
        <v>37</v>
      </c>
      <c r="E42" s="25">
        <f t="shared" si="4"/>
        <v>-0.81818181818182012</v>
      </c>
      <c r="F42">
        <f t="shared" si="0"/>
        <v>0.28546116689840456</v>
      </c>
      <c r="G42">
        <f t="shared" si="1"/>
        <v>0.28546116689840456</v>
      </c>
      <c r="H42">
        <f t="shared" si="2"/>
        <v>0.20662668774681964</v>
      </c>
      <c r="I42">
        <f t="shared" si="3"/>
        <v>0.20662668774681964</v>
      </c>
      <c r="K42" s="37">
        <f ca="1">Normal!D69</f>
        <v>0.11099303283586108</v>
      </c>
    </row>
    <row r="43" spans="4:11" x14ac:dyDescent="0.25">
      <c r="D43">
        <v>38</v>
      </c>
      <c r="E43" s="25">
        <f t="shared" si="4"/>
        <v>-0.75757575757575957</v>
      </c>
      <c r="F43">
        <f t="shared" si="0"/>
        <v>0.29942268327109928</v>
      </c>
      <c r="G43">
        <f t="shared" si="1"/>
        <v>0.29942268327109928</v>
      </c>
      <c r="H43">
        <f t="shared" si="2"/>
        <v>0.22435249875681706</v>
      </c>
      <c r="I43">
        <f t="shared" si="3"/>
        <v>0.22435249875681706</v>
      </c>
      <c r="K43" s="37">
        <f ca="1">Normal!D70</f>
        <v>-1.0952113209880316</v>
      </c>
    </row>
    <row r="44" spans="4:11" x14ac:dyDescent="0.25">
      <c r="D44">
        <v>39</v>
      </c>
      <c r="E44" s="25">
        <f t="shared" si="4"/>
        <v>-0.69696969696969902</v>
      </c>
      <c r="F44">
        <f t="shared" si="0"/>
        <v>0.31291555647791924</v>
      </c>
      <c r="G44">
        <f t="shared" si="1"/>
        <v>0.31291555647791924</v>
      </c>
      <c r="H44">
        <f t="shared" si="2"/>
        <v>0.24291087909404363</v>
      </c>
      <c r="I44">
        <f t="shared" si="3"/>
        <v>0.24291087909404363</v>
      </c>
      <c r="K44" s="37">
        <f ca="1">Normal!D71</f>
        <v>0.21472613007341901</v>
      </c>
    </row>
    <row r="45" spans="4:11" x14ac:dyDescent="0.25">
      <c r="D45">
        <v>40</v>
      </c>
      <c r="E45" s="25">
        <f t="shared" si="4"/>
        <v>-0.63636363636363846</v>
      </c>
      <c r="F45">
        <f t="shared" si="0"/>
        <v>0.32581749943768962</v>
      </c>
      <c r="G45">
        <f t="shared" si="1"/>
        <v>0.32581749943768962</v>
      </c>
      <c r="H45">
        <f t="shared" si="2"/>
        <v>0.26226971821765577</v>
      </c>
      <c r="I45">
        <f t="shared" si="3"/>
        <v>0.26226971821765577</v>
      </c>
      <c r="K45" s="37">
        <f ca="1">Normal!D72</f>
        <v>-0.65265540150970158</v>
      </c>
    </row>
    <row r="46" spans="4:11" x14ac:dyDescent="0.25">
      <c r="D46">
        <v>41</v>
      </c>
      <c r="E46" s="25">
        <f t="shared" si="4"/>
        <v>-0.57575757575757791</v>
      </c>
      <c r="F46">
        <f t="shared" si="0"/>
        <v>0.3380075906436158</v>
      </c>
      <c r="G46">
        <f t="shared" si="1"/>
        <v>0.3380075906436158</v>
      </c>
      <c r="H46">
        <f t="shared" si="2"/>
        <v>0.28238952631152359</v>
      </c>
      <c r="I46">
        <f t="shared" si="3"/>
        <v>0.28238952631152359</v>
      </c>
      <c r="K46" s="37">
        <f ca="1">Normal!D73</f>
        <v>0.87398371459389668</v>
      </c>
    </row>
    <row r="47" spans="4:11" x14ac:dyDescent="0.25">
      <c r="D47">
        <v>42</v>
      </c>
      <c r="E47" s="25">
        <f t="shared" si="4"/>
        <v>-0.51515151515151736</v>
      </c>
      <c r="F47">
        <f t="shared" si="0"/>
        <v>0.34936813837265401</v>
      </c>
      <c r="G47">
        <f t="shared" si="1"/>
        <v>0.34936813837265401</v>
      </c>
      <c r="H47">
        <f t="shared" si="2"/>
        <v>0.30322357337000977</v>
      </c>
      <c r="I47">
        <f t="shared" si="3"/>
        <v>0.30322357337000977</v>
      </c>
      <c r="K47" s="37">
        <f ca="1">Normal!D74</f>
        <v>-0.37051581418376967</v>
      </c>
    </row>
    <row r="48" spans="4:11" x14ac:dyDescent="0.25">
      <c r="D48">
        <v>43</v>
      </c>
      <c r="E48" s="25">
        <f t="shared" si="4"/>
        <v>-0.45454545454545675</v>
      </c>
      <c r="F48">
        <f t="shared" si="0"/>
        <v>0.35978655781262298</v>
      </c>
      <c r="G48">
        <f t="shared" si="1"/>
        <v>0.35978655781262298</v>
      </c>
      <c r="H48">
        <f t="shared" si="2"/>
        <v>0.3247181418633765</v>
      </c>
      <c r="I48">
        <f t="shared" si="3"/>
        <v>0.3247181418633765</v>
      </c>
      <c r="K48" s="37">
        <f ca="1">Normal!D75</f>
        <v>0.60867335649489518</v>
      </c>
    </row>
    <row r="49" spans="4:11" x14ac:dyDescent="0.25">
      <c r="D49">
        <v>44</v>
      </c>
      <c r="E49" s="25">
        <f t="shared" si="4"/>
        <v>-0.39393939393939614</v>
      </c>
      <c r="F49">
        <f t="shared" si="0"/>
        <v>0.36915721961969711</v>
      </c>
      <c r="G49">
        <f t="shared" si="1"/>
        <v>0.36915721961969711</v>
      </c>
      <c r="H49">
        <f t="shared" si="2"/>
        <v>0.34681289251520725</v>
      </c>
      <c r="I49">
        <f t="shared" si="3"/>
        <v>0.34681289251520725</v>
      </c>
      <c r="K49" s="37">
        <f ca="1">Normal!D76</f>
        <v>-0.90476605202312044</v>
      </c>
    </row>
    <row r="50" spans="4:11" x14ac:dyDescent="0.25">
      <c r="D50">
        <v>45</v>
      </c>
      <c r="E50" s="25">
        <f t="shared" si="4"/>
        <v>-0.33333333333333554</v>
      </c>
      <c r="F50">
        <f t="shared" si="0"/>
        <v>0.37738322769299293</v>
      </c>
      <c r="G50">
        <f t="shared" si="1"/>
        <v>0.37738322769299293</v>
      </c>
      <c r="H50">
        <f t="shared" si="2"/>
        <v>0.36944134018176278</v>
      </c>
      <c r="I50">
        <f t="shared" si="3"/>
        <v>0.36944134018176278</v>
      </c>
      <c r="K50" s="37">
        <f ca="1">Normal!D77</f>
        <v>-1.0824625421007834</v>
      </c>
    </row>
    <row r="51" spans="4:11" x14ac:dyDescent="0.25">
      <c r="D51">
        <v>46</v>
      </c>
      <c r="E51" s="25">
        <f t="shared" si="4"/>
        <v>-0.27272727272727493</v>
      </c>
      <c r="F51">
        <f t="shared" si="0"/>
        <v>0.38437808445725874</v>
      </c>
      <c r="G51">
        <f t="shared" si="1"/>
        <v>0.38437808445725874</v>
      </c>
      <c r="H51">
        <f t="shared" si="2"/>
        <v>0.39253143427377885</v>
      </c>
      <c r="I51">
        <f t="shared" si="3"/>
        <v>0.39253143427377885</v>
      </c>
      <c r="K51" s="37">
        <f ca="1">Normal!D78</f>
        <v>9.0770450092518953E-2</v>
      </c>
    </row>
    <row r="52" spans="4:11" x14ac:dyDescent="0.25">
      <c r="D52">
        <v>47</v>
      </c>
      <c r="E52" s="25">
        <f t="shared" si="4"/>
        <v>-0.21212121212121432</v>
      </c>
      <c r="F52">
        <f t="shared" si="0"/>
        <v>0.39006720370128656</v>
      </c>
      <c r="G52">
        <f t="shared" si="1"/>
        <v>0.39006720370128656</v>
      </c>
      <c r="H52">
        <f t="shared" si="2"/>
        <v>0.41600623568031947</v>
      </c>
      <c r="I52">
        <f t="shared" si="3"/>
        <v>0.41600623568031947</v>
      </c>
      <c r="K52" s="37">
        <f ca="1">Normal!D79</f>
        <v>-0.30139203765071237</v>
      </c>
    </row>
    <row r="53" spans="4:11" x14ac:dyDescent="0.25">
      <c r="D53">
        <v>48</v>
      </c>
      <c r="E53" s="25">
        <f t="shared" si="4"/>
        <v>-0.15151515151515371</v>
      </c>
      <c r="F53">
        <f t="shared" si="0"/>
        <v>0.39438923400491871</v>
      </c>
      <c r="G53">
        <f t="shared" si="1"/>
        <v>0.39438923400491871</v>
      </c>
      <c r="H53">
        <f t="shared" si="2"/>
        <v>0.43978467981733316</v>
      </c>
      <c r="I53">
        <f t="shared" si="3"/>
        <v>0.43978467981733316</v>
      </c>
      <c r="K53" s="37">
        <f ca="1">Normal!D80</f>
        <v>5.0704686017065702E-2</v>
      </c>
    </row>
    <row r="54" spans="4:11" x14ac:dyDescent="0.25">
      <c r="D54">
        <v>49</v>
      </c>
      <c r="E54" s="25">
        <f t="shared" si="4"/>
        <v>-9.0909090909093104E-2</v>
      </c>
      <c r="F54">
        <f t="shared" si="0"/>
        <v>0.39729715993174164</v>
      </c>
      <c r="G54">
        <f t="shared" si="1"/>
        <v>0.39729715993174164</v>
      </c>
      <c r="H54">
        <f t="shared" si="2"/>
        <v>0.46378241330310471</v>
      </c>
      <c r="I54">
        <f t="shared" si="3"/>
        <v>0.46378241330310471</v>
      </c>
      <c r="K54" s="37">
        <f ca="1">Normal!D81</f>
        <v>-1.5425169701067536</v>
      </c>
    </row>
    <row r="55" spans="4:11" x14ac:dyDescent="0.25">
      <c r="D55">
        <v>50</v>
      </c>
      <c r="E55" s="25">
        <f t="shared" si="4"/>
        <v>-3.0303030303032497E-2</v>
      </c>
      <c r="F55">
        <f t="shared" si="0"/>
        <v>0.39875915335374174</v>
      </c>
      <c r="G55">
        <f t="shared" si="1"/>
        <v>0.39875915335374174</v>
      </c>
      <c r="H55">
        <f t="shared" si="2"/>
        <v>0.48791268992585418</v>
      </c>
      <c r="I55">
        <f t="shared" si="3"/>
        <v>0.48791268992585418</v>
      </c>
      <c r="K55" s="37">
        <f ca="1">Normal!D82</f>
        <v>-0.36540339721449516</v>
      </c>
    </row>
    <row r="56" spans="4:11" x14ac:dyDescent="0.25">
      <c r="D56">
        <v>51</v>
      </c>
      <c r="E56" s="25">
        <f t="shared" si="4"/>
        <v>3.0303030303028111E-2</v>
      </c>
      <c r="F56">
        <f t="shared" si="0"/>
        <v>0.39875915335374179</v>
      </c>
      <c r="G56">
        <f t="shared" si="1"/>
        <v>0.39875915335374179</v>
      </c>
      <c r="H56">
        <f t="shared" si="2"/>
        <v>0.5120873100741441</v>
      </c>
      <c r="I56">
        <f t="shared" si="3"/>
        <v>0.5120873100741441</v>
      </c>
      <c r="K56" s="37">
        <f ca="1">Normal!D83</f>
        <v>0.15923958614655023</v>
      </c>
    </row>
    <row r="57" spans="4:11" x14ac:dyDescent="0.25">
      <c r="D57">
        <v>52</v>
      </c>
      <c r="E57" s="25">
        <f t="shared" si="4"/>
        <v>9.0909090909088719E-2</v>
      </c>
      <c r="F57">
        <f t="shared" si="0"/>
        <v>0.39729715993174186</v>
      </c>
      <c r="G57">
        <f t="shared" si="1"/>
        <v>0.39729715993174186</v>
      </c>
      <c r="H57">
        <f t="shared" si="2"/>
        <v>0.53621758669689346</v>
      </c>
      <c r="I57">
        <f t="shared" si="3"/>
        <v>0.53621758669689346</v>
      </c>
      <c r="K57" s="37">
        <f ca="1">Normal!D84</f>
        <v>4.2656396322810576E-2</v>
      </c>
    </row>
    <row r="58" spans="4:11" x14ac:dyDescent="0.25">
      <c r="D58">
        <v>53</v>
      </c>
      <c r="E58" s="25">
        <f t="shared" si="4"/>
        <v>0.15151515151514933</v>
      </c>
      <c r="F58">
        <f t="shared" si="0"/>
        <v>0.39438923400491899</v>
      </c>
      <c r="G58">
        <f t="shared" si="1"/>
        <v>0.39438923400491899</v>
      </c>
      <c r="H58">
        <f t="shared" si="2"/>
        <v>0.56021532018266507</v>
      </c>
      <c r="I58">
        <f t="shared" si="3"/>
        <v>0.56021532018266507</v>
      </c>
      <c r="K58" s="37">
        <f ca="1">Normal!D85</f>
        <v>0.92069397058324975</v>
      </c>
    </row>
    <row r="59" spans="4:11" x14ac:dyDescent="0.25">
      <c r="D59">
        <v>54</v>
      </c>
      <c r="E59" s="25">
        <f t="shared" si="4"/>
        <v>0.21212121212120993</v>
      </c>
      <c r="F59">
        <f t="shared" si="0"/>
        <v>0.39006720370128689</v>
      </c>
      <c r="G59">
        <f t="shared" si="1"/>
        <v>0.39006720370128689</v>
      </c>
      <c r="H59">
        <f t="shared" si="2"/>
        <v>0.58399376431967887</v>
      </c>
      <c r="I59">
        <f t="shared" si="3"/>
        <v>0.58399376431967887</v>
      </c>
      <c r="K59" s="37">
        <f ca="1">Normal!D86</f>
        <v>2.424542603571302E-2</v>
      </c>
    </row>
    <row r="60" spans="4:11" x14ac:dyDescent="0.25">
      <c r="D60">
        <v>55</v>
      </c>
      <c r="E60" s="25">
        <f t="shared" si="4"/>
        <v>0.27272727272727054</v>
      </c>
      <c r="F60">
        <f t="shared" si="0"/>
        <v>0.38437808445725918</v>
      </c>
      <c r="G60">
        <f t="shared" si="1"/>
        <v>0.38437808445725918</v>
      </c>
      <c r="H60">
        <f t="shared" si="2"/>
        <v>0.60746856572621954</v>
      </c>
      <c r="I60">
        <f t="shared" si="3"/>
        <v>0.60746856572621954</v>
      </c>
      <c r="K60" s="37">
        <f ca="1">Normal!D87</f>
        <v>1.3422040867486723E-2</v>
      </c>
    </row>
    <row r="61" spans="4:11" x14ac:dyDescent="0.25">
      <c r="D61">
        <v>56</v>
      </c>
      <c r="E61" s="25">
        <f t="shared" si="4"/>
        <v>0.33333333333333115</v>
      </c>
      <c r="F61">
        <f t="shared" si="0"/>
        <v>0.37738322769299348</v>
      </c>
      <c r="G61">
        <f t="shared" si="1"/>
        <v>0.37738322769299348</v>
      </c>
      <c r="H61">
        <f t="shared" si="2"/>
        <v>0.63055865981823556</v>
      </c>
      <c r="I61">
        <f t="shared" si="3"/>
        <v>0.63055865981823556</v>
      </c>
      <c r="K61" s="37">
        <f ca="1">Normal!D88</f>
        <v>0.59768353507772387</v>
      </c>
    </row>
    <row r="62" spans="4:11" x14ac:dyDescent="0.25">
      <c r="D62">
        <v>57</v>
      </c>
      <c r="E62" s="25">
        <f t="shared" si="4"/>
        <v>0.39393939393939176</v>
      </c>
      <c r="F62">
        <f t="shared" si="0"/>
        <v>0.36915721961969777</v>
      </c>
      <c r="G62">
        <f t="shared" si="1"/>
        <v>0.36915721961969777</v>
      </c>
      <c r="H62">
        <f t="shared" si="2"/>
        <v>0.65318710748479114</v>
      </c>
      <c r="I62">
        <f t="shared" si="3"/>
        <v>0.65318710748479114</v>
      </c>
      <c r="K62" s="37">
        <f ca="1">Normal!D89</f>
        <v>-1.374256694351405</v>
      </c>
    </row>
    <row r="63" spans="4:11" x14ac:dyDescent="0.25">
      <c r="D63">
        <v>58</v>
      </c>
      <c r="E63" s="25">
        <f t="shared" si="4"/>
        <v>0.45454545454545237</v>
      </c>
      <c r="F63">
        <f t="shared" si="0"/>
        <v>0.3597865578126237</v>
      </c>
      <c r="G63">
        <f t="shared" si="1"/>
        <v>0.3597865578126237</v>
      </c>
      <c r="H63">
        <f t="shared" si="2"/>
        <v>0.67528185813662189</v>
      </c>
      <c r="I63">
        <f t="shared" si="3"/>
        <v>0.67528185813662189</v>
      </c>
      <c r="K63" s="37">
        <f ca="1">Normal!D90</f>
        <v>-1.4116749483682682</v>
      </c>
    </row>
    <row r="64" spans="4:11" x14ac:dyDescent="0.25">
      <c r="D64">
        <v>59</v>
      </c>
      <c r="E64" s="25">
        <f t="shared" si="4"/>
        <v>0.51515151515151292</v>
      </c>
      <c r="F64">
        <f t="shared" si="0"/>
        <v>0.34936813837265485</v>
      </c>
      <c r="G64">
        <f t="shared" si="1"/>
        <v>0.34936813837265485</v>
      </c>
      <c r="H64">
        <f t="shared" si="2"/>
        <v>0.69677642662998873</v>
      </c>
      <c r="I64">
        <f t="shared" si="3"/>
        <v>0.69677642662998873</v>
      </c>
      <c r="K64" s="37">
        <f ca="1">Normal!D91</f>
        <v>-1.102461194460022</v>
      </c>
    </row>
    <row r="65" spans="4:11" x14ac:dyDescent="0.25">
      <c r="D65">
        <v>60</v>
      </c>
      <c r="E65" s="25">
        <f t="shared" si="4"/>
        <v>0.57575757575757347</v>
      </c>
      <c r="F65">
        <f t="shared" si="0"/>
        <v>0.33800759064361663</v>
      </c>
      <c r="G65">
        <f t="shared" si="1"/>
        <v>0.33800759064361663</v>
      </c>
      <c r="H65">
        <f t="shared" si="2"/>
        <v>0.71761047368847497</v>
      </c>
      <c r="I65">
        <f t="shared" si="3"/>
        <v>0.71761047368847497</v>
      </c>
      <c r="K65" s="37">
        <f ca="1">Normal!D92</f>
        <v>6.129812683110334E-2</v>
      </c>
    </row>
    <row r="66" spans="4:11" x14ac:dyDescent="0.25">
      <c r="D66">
        <v>61</v>
      </c>
      <c r="E66" s="25">
        <f t="shared" si="4"/>
        <v>0.63636363636363402</v>
      </c>
      <c r="F66">
        <f t="shared" si="0"/>
        <v>0.32581749943769056</v>
      </c>
      <c r="G66">
        <f t="shared" si="1"/>
        <v>0.32581749943769056</v>
      </c>
      <c r="H66">
        <f t="shared" si="2"/>
        <v>0.73773028178234279</v>
      </c>
      <c r="I66">
        <f t="shared" si="3"/>
        <v>0.73773028178234279</v>
      </c>
      <c r="K66" s="37">
        <f ca="1">Normal!D93</f>
        <v>-3.9637768401848156E-2</v>
      </c>
    </row>
    <row r="67" spans="4:11" x14ac:dyDescent="0.25">
      <c r="D67">
        <v>62</v>
      </c>
      <c r="E67" s="25">
        <f t="shared" si="4"/>
        <v>0.69696969696969457</v>
      </c>
      <c r="F67">
        <f t="shared" si="0"/>
        <v>0.31291555647792024</v>
      </c>
      <c r="G67">
        <f t="shared" si="1"/>
        <v>0.31291555647792024</v>
      </c>
      <c r="H67">
        <f t="shared" si="2"/>
        <v>0.75708912090595493</v>
      </c>
      <c r="I67">
        <f t="shared" si="3"/>
        <v>0.75708912090595493</v>
      </c>
      <c r="K67" s="37">
        <f ca="1">Normal!D94</f>
        <v>0.52065134670137181</v>
      </c>
    </row>
    <row r="68" spans="4:11" x14ac:dyDescent="0.25">
      <c r="D68">
        <v>63</v>
      </c>
      <c r="E68" s="25">
        <f t="shared" si="4"/>
        <v>0.75757575757575513</v>
      </c>
      <c r="F68">
        <f t="shared" si="0"/>
        <v>0.29942268327110028</v>
      </c>
      <c r="G68">
        <f t="shared" si="1"/>
        <v>0.29942268327110028</v>
      </c>
      <c r="H68">
        <f t="shared" si="2"/>
        <v>0.7756475012431816</v>
      </c>
      <c r="I68">
        <f t="shared" si="3"/>
        <v>0.7756475012431816</v>
      </c>
      <c r="K68" s="37">
        <f ca="1">Normal!D95</f>
        <v>0.12506059658831475</v>
      </c>
    </row>
    <row r="69" spans="4:11" x14ac:dyDescent="0.25">
      <c r="D69">
        <v>64</v>
      </c>
      <c r="E69" s="25">
        <f t="shared" si="4"/>
        <v>0.81818181818181568</v>
      </c>
      <c r="F69">
        <f t="shared" si="0"/>
        <v>0.28546116689840562</v>
      </c>
      <c r="G69">
        <f t="shared" si="1"/>
        <v>0.28546116689840562</v>
      </c>
      <c r="H69">
        <f t="shared" si="2"/>
        <v>0.79337331225317909</v>
      </c>
      <c r="I69">
        <f t="shared" si="3"/>
        <v>0.79337331225317909</v>
      </c>
      <c r="K69" s="37">
        <f ca="1">Normal!D96</f>
        <v>0.73228606118739248</v>
      </c>
    </row>
    <row r="70" spans="4:11" x14ac:dyDescent="0.25">
      <c r="D70">
        <v>65</v>
      </c>
      <c r="E70" s="25">
        <f t="shared" si="4"/>
        <v>0.87878787878787623</v>
      </c>
      <c r="F70">
        <f t="shared" si="0"/>
        <v>0.2711528483204787</v>
      </c>
      <c r="G70">
        <f t="shared" si="1"/>
        <v>0.2711528483204787</v>
      </c>
      <c r="H70">
        <f t="shared" si="2"/>
        <v>0.81024185017167449</v>
      </c>
      <c r="I70">
        <f t="shared" si="3"/>
        <v>0.81024185017167449</v>
      </c>
      <c r="K70" s="37">
        <f ca="1">Normal!D97</f>
        <v>-6.4442968944694923E-2</v>
      </c>
    </row>
    <row r="71" spans="4:11" x14ac:dyDescent="0.25">
      <c r="D71">
        <v>66</v>
      </c>
      <c r="E71" s="25">
        <f t="shared" si="4"/>
        <v>0.93939393939393678</v>
      </c>
      <c r="F71">
        <f t="shared" ref="F71:F105" si="8">NORMDIST(E71,$B$6,$B$7,FALSE)</f>
        <v>0.25661739984324472</v>
      </c>
      <c r="G71">
        <f t="shared" ref="G71:G105" si="9">IF(OR($E71&gt;$B$9,$E71&lt;$B$8),NA(),$F71)</f>
        <v>0.25661739984324472</v>
      </c>
      <c r="H71">
        <f t="shared" ref="H71:H105" si="10">NORMDIST(E71,$B$6,$B$7,TRUE)</f>
        <v>0.82623573823831231</v>
      </c>
      <c r="I71">
        <f t="shared" ref="I71:I105" si="11">IF(OR($E71&gt;$B$9,$E71&lt;$B$8),NA(),$H71)</f>
        <v>0.82623573823831231</v>
      </c>
      <c r="K71" s="37">
        <f ca="1">Normal!D98</f>
        <v>0.91378452509327712</v>
      </c>
    </row>
    <row r="72" spans="4:11" x14ac:dyDescent="0.25">
      <c r="D72">
        <v>67</v>
      </c>
      <c r="E72" s="25">
        <f t="shared" ref="E72:E105" si="12">($B$11-$B$10)/99+E71</f>
        <v>0.99999999999999734</v>
      </c>
      <c r="F72">
        <f t="shared" si="8"/>
        <v>0.24197072451914403</v>
      </c>
      <c r="G72">
        <f t="shared" si="9"/>
        <v>0.24197072451914403</v>
      </c>
      <c r="H72">
        <f t="shared" si="10"/>
        <v>0.84134474606854226</v>
      </c>
      <c r="I72">
        <f t="shared" si="11"/>
        <v>0.84134474606854226</v>
      </c>
      <c r="K72" s="37">
        <f ca="1">Normal!D99</f>
        <v>-0.90486319506608792</v>
      </c>
    </row>
    <row r="73" spans="4:11" x14ac:dyDescent="0.25">
      <c r="D73">
        <v>68</v>
      </c>
      <c r="E73" s="25">
        <f t="shared" si="12"/>
        <v>1.0606060606060579</v>
      </c>
      <c r="F73">
        <f t="shared" si="8"/>
        <v>0.22732350563136161</v>
      </c>
      <c r="G73" t="e">
        <f t="shared" si="9"/>
        <v>#N/A</v>
      </c>
      <c r="H73">
        <f t="shared" si="10"/>
        <v>0.85556551643801682</v>
      </c>
      <c r="I73" t="e">
        <f t="shared" si="11"/>
        <v>#N/A</v>
      </c>
      <c r="K73" s="37">
        <f ca="1">Normal!D100</f>
        <v>2.2024752341082583</v>
      </c>
    </row>
    <row r="74" spans="4:11" x14ac:dyDescent="0.25">
      <c r="D74">
        <v>69</v>
      </c>
      <c r="E74" s="25">
        <f t="shared" si="12"/>
        <v>1.1212121212121184</v>
      </c>
      <c r="F74">
        <f t="shared" si="8"/>
        <v>0.21277992921081981</v>
      </c>
      <c r="G74" t="e">
        <f t="shared" si="9"/>
        <v>#N/A</v>
      </c>
      <c r="H74">
        <f t="shared" si="10"/>
        <v>0.86890120929826953</v>
      </c>
      <c r="I74" t="e">
        <f t="shared" si="11"/>
        <v>#N/A</v>
      </c>
      <c r="K74" s="37">
        <f ca="1">Normal!D101</f>
        <v>-0.75134590628299835</v>
      </c>
    </row>
    <row r="75" spans="4:11" x14ac:dyDescent="0.25">
      <c r="D75">
        <v>70</v>
      </c>
      <c r="E75" s="25">
        <f t="shared" si="12"/>
        <v>1.181818181818179</v>
      </c>
      <c r="F75">
        <f t="shared" si="8"/>
        <v>0.19843659696308588</v>
      </c>
      <c r="G75" t="e">
        <f t="shared" si="9"/>
        <v>#N/A</v>
      </c>
      <c r="H75">
        <f t="shared" si="10"/>
        <v>0.88136107406586039</v>
      </c>
      <c r="I75" t="e">
        <f t="shared" si="11"/>
        <v>#N/A</v>
      </c>
      <c r="K75" s="37">
        <f ca="1">Normal!D102</f>
        <v>0.61609560015338938</v>
      </c>
    </row>
    <row r="76" spans="4:11" x14ac:dyDescent="0.25">
      <c r="D76">
        <v>71</v>
      </c>
      <c r="E76" s="25">
        <f t="shared" si="12"/>
        <v>1.2424242424242395</v>
      </c>
      <c r="F76">
        <f t="shared" si="8"/>
        <v>0.18438164123366216</v>
      </c>
      <c r="G76" t="e">
        <f t="shared" si="9"/>
        <v>#N/A</v>
      </c>
      <c r="H76">
        <f t="shared" si="10"/>
        <v>0.89295996210652295</v>
      </c>
      <c r="I76" t="e">
        <f t="shared" si="11"/>
        <v>#N/A</v>
      </c>
      <c r="K76" s="37">
        <f ca="1">Normal!D103</f>
        <v>0.24635222930935921</v>
      </c>
    </row>
    <row r="77" spans="4:11" x14ac:dyDescent="0.25">
      <c r="D77">
        <v>72</v>
      </c>
      <c r="E77" s="25">
        <f t="shared" si="12"/>
        <v>1.3030303030303001</v>
      </c>
      <c r="F77">
        <f t="shared" si="8"/>
        <v>0.17069404790904871</v>
      </c>
      <c r="G77" t="e">
        <f t="shared" si="9"/>
        <v>#N/A</v>
      </c>
      <c r="H77">
        <f t="shared" si="10"/>
        <v>0.9037177918663799</v>
      </c>
      <c r="I77" t="e">
        <f t="shared" si="11"/>
        <v>#N/A</v>
      </c>
      <c r="K77" s="37">
        <f ca="1">Normal!D104</f>
        <v>4.5390411969914987E-2</v>
      </c>
    </row>
    <row r="78" spans="4:11" x14ac:dyDescent="0.25">
      <c r="D78">
        <v>73</v>
      </c>
      <c r="E78" s="25">
        <f t="shared" si="12"/>
        <v>1.3636363636363606</v>
      </c>
      <c r="F78">
        <f t="shared" si="8"/>
        <v>0.15744318761884432</v>
      </c>
      <c r="G78" t="e">
        <f t="shared" si="9"/>
        <v>#N/A</v>
      </c>
      <c r="H78">
        <f t="shared" si="10"/>
        <v>0.91365897929062534</v>
      </c>
      <c r="I78" t="e">
        <f t="shared" si="11"/>
        <v>#N/A</v>
      </c>
      <c r="K78" s="37">
        <f ca="1">Normal!D105</f>
        <v>0.42588882760364744</v>
      </c>
    </row>
    <row r="79" spans="4:11" x14ac:dyDescent="0.25">
      <c r="D79">
        <v>74</v>
      </c>
      <c r="E79" s="25">
        <f t="shared" si="12"/>
        <v>1.4242424242424212</v>
      </c>
      <c r="F79">
        <f t="shared" si="8"/>
        <v>0.14468855043375314</v>
      </c>
      <c r="G79" t="e">
        <f t="shared" si="9"/>
        <v>#N/A</v>
      </c>
      <c r="H79">
        <f t="shared" si="10"/>
        <v>0.92281184603333855</v>
      </c>
      <c r="I79" t="e">
        <f t="shared" si="11"/>
        <v>#N/A</v>
      </c>
      <c r="K79" s="37">
        <f ca="1">Normal!D106</f>
        <v>1.0286345637945027</v>
      </c>
    </row>
    <row r="80" spans="4:11" x14ac:dyDescent="0.25">
      <c r="D80">
        <v>75</v>
      </c>
      <c r="E80" s="25">
        <f t="shared" si="12"/>
        <v>1.4848484848484818</v>
      </c>
      <c r="F80">
        <f t="shared" si="8"/>
        <v>0.13247967458475451</v>
      </c>
      <c r="G80" t="e">
        <f t="shared" si="9"/>
        <v>#N/A</v>
      </c>
      <c r="H80">
        <f t="shared" si="10"/>
        <v>0.93120801752652638</v>
      </c>
      <c r="I80" t="e">
        <f t="shared" si="11"/>
        <v>#N/A</v>
      </c>
      <c r="K80" s="37">
        <f ca="1">Normal!D107</f>
        <v>0.73952688693594559</v>
      </c>
    </row>
    <row r="81" spans="4:11" x14ac:dyDescent="0.25">
      <c r="D81">
        <v>76</v>
      </c>
      <c r="E81" s="25">
        <f t="shared" si="12"/>
        <v>1.5454545454545423</v>
      </c>
      <c r="F81">
        <f t="shared" si="8"/>
        <v>0.12085625567149952</v>
      </c>
      <c r="G81" t="e">
        <f t="shared" si="9"/>
        <v>#N/A</v>
      </c>
      <c r="H81">
        <f t="shared" si="10"/>
        <v>0.9388818222759937</v>
      </c>
      <c r="I81" t="e">
        <f t="shared" si="11"/>
        <v>#N/A</v>
      </c>
      <c r="K81" s="37">
        <f ca="1">Normal!D108</f>
        <v>0.3318114229365573</v>
      </c>
    </row>
    <row r="82" spans="4:11" x14ac:dyDescent="0.25">
      <c r="D82">
        <v>77</v>
      </c>
      <c r="E82" s="25">
        <f t="shared" si="12"/>
        <v>1.6060606060606029</v>
      </c>
      <c r="F82">
        <f t="shared" si="8"/>
        <v>0.10984841946507069</v>
      </c>
      <c r="G82" t="e">
        <f t="shared" si="9"/>
        <v>#N/A</v>
      </c>
      <c r="H82">
        <f t="shared" si="10"/>
        <v>0.9458697028259524</v>
      </c>
      <c r="I82" t="e">
        <f t="shared" si="11"/>
        <v>#N/A</v>
      </c>
      <c r="K82" s="37">
        <f ca="1">Normal!D109</f>
        <v>1.6293868118143933</v>
      </c>
    </row>
    <row r="83" spans="4:11" x14ac:dyDescent="0.25">
      <c r="D83">
        <v>78</v>
      </c>
      <c r="E83" s="25">
        <f t="shared" si="12"/>
        <v>1.6666666666666634</v>
      </c>
      <c r="F83">
        <f t="shared" si="8"/>
        <v>9.9477138792749234E-2</v>
      </c>
      <c r="G83" t="e">
        <f t="shared" si="9"/>
        <v>#N/A</v>
      </c>
      <c r="H83">
        <f t="shared" si="10"/>
        <v>0.95220964772718497</v>
      </c>
      <c r="I83" t="e">
        <f t="shared" si="11"/>
        <v>#N/A</v>
      </c>
      <c r="K83" s="37">
        <f ca="1">Normal!D110</f>
        <v>-0.77099186716807433</v>
      </c>
    </row>
    <row r="84" spans="4:11" x14ac:dyDescent="0.25">
      <c r="D84">
        <v>79</v>
      </c>
      <c r="E84" s="25">
        <f t="shared" si="12"/>
        <v>1.727272727272724</v>
      </c>
      <c r="F84">
        <f t="shared" si="8"/>
        <v>8.9754773141324795E-2</v>
      </c>
      <c r="G84" t="e">
        <f t="shared" si="9"/>
        <v>#N/A</v>
      </c>
      <c r="H84">
        <f t="shared" si="10"/>
        <v>0.95794065260104289</v>
      </c>
      <c r="I84" t="e">
        <f t="shared" si="11"/>
        <v>#N/A</v>
      </c>
      <c r="K84" s="37">
        <f ca="1">Normal!D111</f>
        <v>-0.68187312328309857</v>
      </c>
    </row>
    <row r="85" spans="4:11" x14ac:dyDescent="0.25">
      <c r="D85">
        <v>80</v>
      </c>
      <c r="E85" s="25">
        <f t="shared" si="12"/>
        <v>1.7878787878787845</v>
      </c>
      <c r="F85">
        <f t="shared" si="8"/>
        <v>8.0685708523164132E-2</v>
      </c>
      <c r="G85" t="e">
        <f t="shared" si="9"/>
        <v>#N/A</v>
      </c>
      <c r="H85">
        <f t="shared" si="10"/>
        <v>0.96310221705992982</v>
      </c>
      <c r="I85" t="e">
        <f t="shared" si="11"/>
        <v>#N/A</v>
      </c>
      <c r="K85" s="37">
        <f ca="1">Normal!D112</f>
        <v>-2.4819565292933947</v>
      </c>
    </row>
    <row r="86" spans="4:11" x14ac:dyDescent="0.25">
      <c r="D86">
        <v>81</v>
      </c>
      <c r="E86" s="25">
        <f t="shared" si="12"/>
        <v>1.8484848484848451</v>
      </c>
      <c r="F86">
        <f t="shared" si="8"/>
        <v>7.2267074782333185E-2</v>
      </c>
      <c r="G86" t="e">
        <f t="shared" si="9"/>
        <v>#N/A</v>
      </c>
      <c r="H86">
        <f t="shared" si="10"/>
        <v>0.96773388286930528</v>
      </c>
      <c r="I86" t="e">
        <f t="shared" si="11"/>
        <v>#N/A</v>
      </c>
      <c r="K86" s="37">
        <f ca="1">Normal!D113</f>
        <v>0.42922430952313495</v>
      </c>
    </row>
    <row r="87" spans="4:11" x14ac:dyDescent="0.25">
      <c r="D87">
        <v>82</v>
      </c>
      <c r="E87" s="25">
        <f t="shared" si="12"/>
        <v>1.9090909090909056</v>
      </c>
      <c r="F87">
        <f t="shared" si="8"/>
        <v>6.448951782093322E-2</v>
      </c>
      <c r="G87" t="e">
        <f t="shared" si="9"/>
        <v>#N/A</v>
      </c>
      <c r="H87">
        <f t="shared" si="10"/>
        <v>0.97187481735901637</v>
      </c>
      <c r="I87" t="e">
        <f t="shared" si="11"/>
        <v>#N/A</v>
      </c>
      <c r="K87" s="37">
        <f ca="1">Normal!D114</f>
        <v>0.11947234159997323</v>
      </c>
    </row>
    <row r="88" spans="4:11" x14ac:dyDescent="0.25">
      <c r="D88">
        <v>83</v>
      </c>
      <c r="E88" s="25">
        <f t="shared" si="12"/>
        <v>1.9696969696969662</v>
      </c>
      <c r="F88">
        <f t="shared" si="8"/>
        <v>5.7338005124813317E-2</v>
      </c>
      <c r="G88" t="e">
        <f t="shared" si="9"/>
        <v>#N/A</v>
      </c>
      <c r="H88">
        <f t="shared" si="10"/>
        <v>0.97556344475136558</v>
      </c>
      <c r="I88" t="e">
        <f t="shared" si="11"/>
        <v>#N/A</v>
      </c>
      <c r="K88" s="37">
        <f ca="1">Normal!D115</f>
        <v>-0.74530854797312796</v>
      </c>
    </row>
    <row r="89" spans="4:11" x14ac:dyDescent="0.25">
      <c r="D89">
        <v>84</v>
      </c>
      <c r="E89" s="25">
        <f t="shared" si="12"/>
        <v>2.0303030303030267</v>
      </c>
      <c r="F89">
        <f t="shared" si="8"/>
        <v>5.0792644375804434E-2</v>
      </c>
      <c r="G89" t="e">
        <f t="shared" si="9"/>
        <v>#N/A</v>
      </c>
      <c r="H89">
        <f t="shared" si="10"/>
        <v>0.97883712680330359</v>
      </c>
      <c r="I89" t="e">
        <f t="shared" si="11"/>
        <v>#N/A</v>
      </c>
      <c r="K89" s="37">
        <f ca="1">Normal!D116</f>
        <v>-0.72629898824375927</v>
      </c>
    </row>
    <row r="90" spans="4:11" x14ac:dyDescent="0.25">
      <c r="D90">
        <v>85</v>
      </c>
      <c r="E90" s="25">
        <f t="shared" si="12"/>
        <v>2.0909090909090873</v>
      </c>
      <c r="F90">
        <f t="shared" si="8"/>
        <v>4.482949675859306E-2</v>
      </c>
      <c r="G90" t="e">
        <f t="shared" si="9"/>
        <v>#N/A</v>
      </c>
      <c r="H90">
        <f t="shared" si="10"/>
        <v>0.9817318929884592</v>
      </c>
      <c r="I90" t="e">
        <f t="shared" si="11"/>
        <v>#N/A</v>
      </c>
      <c r="K90" s="37">
        <f ca="1">Normal!D117</f>
        <v>-2.2981869838741935</v>
      </c>
    </row>
    <row r="91" spans="4:11" x14ac:dyDescent="0.25">
      <c r="D91">
        <v>86</v>
      </c>
      <c r="E91" s="25">
        <f t="shared" si="12"/>
        <v>2.1515151515151478</v>
      </c>
      <c r="F91">
        <f t="shared" si="8"/>
        <v>3.9421368704028605E-2</v>
      </c>
      <c r="G91" t="e">
        <f t="shared" si="9"/>
        <v>#N/A</v>
      </c>
      <c r="H91">
        <f t="shared" si="10"/>
        <v>0.98428221939339133</v>
      </c>
      <c r="I91" t="e">
        <f t="shared" si="11"/>
        <v>#N/A</v>
      </c>
      <c r="K91" s="37">
        <f ca="1">Normal!D118</f>
        <v>0.69702716183867919</v>
      </c>
    </row>
    <row r="92" spans="4:11" x14ac:dyDescent="0.25">
      <c r="D92">
        <v>87</v>
      </c>
      <c r="E92" s="25">
        <f t="shared" si="12"/>
        <v>2.2121212121212084</v>
      </c>
      <c r="F92">
        <f t="shared" si="8"/>
        <v>3.4538568156730849E-2</v>
      </c>
      <c r="G92" t="e">
        <f t="shared" si="9"/>
        <v>#N/A</v>
      </c>
      <c r="H92">
        <f t="shared" si="10"/>
        <v>0.98652085458737482</v>
      </c>
      <c r="I92" t="e">
        <f t="shared" si="11"/>
        <v>#N/A</v>
      </c>
      <c r="K92" s="37">
        <f ca="1">Normal!D119</f>
        <v>1.2539472182908802</v>
      </c>
    </row>
    <row r="93" spans="4:11" x14ac:dyDescent="0.25">
      <c r="D93">
        <v>88</v>
      </c>
      <c r="E93" s="25">
        <f t="shared" si="12"/>
        <v>2.2727272727272689</v>
      </c>
      <c r="F93">
        <f t="shared" si="8"/>
        <v>3.0149613916800919E-2</v>
      </c>
      <c r="G93" t="e">
        <f t="shared" si="9"/>
        <v>#N/A</v>
      </c>
      <c r="H93">
        <f t="shared" si="10"/>
        <v>0.98847868995611898</v>
      </c>
      <c r="I93" t="e">
        <f t="shared" si="11"/>
        <v>#N/A</v>
      </c>
      <c r="K93" s="37">
        <f ca="1">Normal!D120</f>
        <v>1.3706520533728856</v>
      </c>
    </row>
    <row r="94" spans="4:11" x14ac:dyDescent="0.25">
      <c r="D94">
        <v>89</v>
      </c>
      <c r="E94" s="25">
        <f t="shared" si="12"/>
        <v>2.3333333333333295</v>
      </c>
      <c r="F94">
        <f t="shared" si="8"/>
        <v>2.6221889093709726E-2</v>
      </c>
      <c r="G94" t="e">
        <f t="shared" si="9"/>
        <v>#N/A</v>
      </c>
      <c r="H94">
        <f t="shared" si="10"/>
        <v>0.99018467137135457</v>
      </c>
      <c r="I94" t="e">
        <f t="shared" si="11"/>
        <v>#N/A</v>
      </c>
      <c r="K94" s="37">
        <f ca="1">Normal!D121</f>
        <v>0.61823323533314378</v>
      </c>
    </row>
    <row r="95" spans="4:11" x14ac:dyDescent="0.25">
      <c r="D95">
        <v>90</v>
      </c>
      <c r="E95" s="25">
        <f t="shared" si="12"/>
        <v>2.39393939393939</v>
      </c>
      <c r="F95">
        <f t="shared" si="8"/>
        <v>2.2722232145095646E-2</v>
      </c>
      <c r="G95" t="e">
        <f t="shared" si="9"/>
        <v>#N/A</v>
      </c>
      <c r="H95">
        <f t="shared" si="10"/>
        <v>0.99166574859930423</v>
      </c>
      <c r="I95" t="e">
        <f t="shared" si="11"/>
        <v>#N/A</v>
      </c>
      <c r="K95" s="37">
        <f ca="1">Normal!D122</f>
        <v>-1.2103746995983367</v>
      </c>
    </row>
    <row r="96" spans="4:11" x14ac:dyDescent="0.25">
      <c r="D96">
        <v>91</v>
      </c>
      <c r="E96" s="25">
        <f t="shared" si="12"/>
        <v>2.4545454545454506</v>
      </c>
      <c r="F96">
        <f t="shared" si="8"/>
        <v>1.9617461285747598E-2</v>
      </c>
      <c r="G96" t="e">
        <f t="shared" si="9"/>
        <v>#N/A</v>
      </c>
      <c r="H96">
        <f t="shared" si="10"/>
        <v>0.99294685852631015</v>
      </c>
      <c r="I96" t="e">
        <f t="shared" si="11"/>
        <v>#N/A</v>
      </c>
      <c r="K96" s="37">
        <f ca="1">Normal!D123</f>
        <v>0.79273283689935514</v>
      </c>
    </row>
    <row r="97" spans="1:16" x14ac:dyDescent="0.25">
      <c r="D97">
        <v>92</v>
      </c>
      <c r="E97" s="25">
        <f t="shared" si="12"/>
        <v>2.5151515151515111</v>
      </c>
      <c r="F97">
        <f t="shared" si="8"/>
        <v>1.6874830186622419E-2</v>
      </c>
      <c r="G97" t="e">
        <f t="shared" si="9"/>
        <v>#N/A</v>
      </c>
      <c r="H97">
        <f t="shared" si="10"/>
        <v>0.99405093809015643</v>
      </c>
      <c r="I97" t="e">
        <f t="shared" si="11"/>
        <v>#N/A</v>
      </c>
      <c r="K97" s="37">
        <f ca="1">Normal!D124</f>
        <v>-0.37431428071660255</v>
      </c>
    </row>
    <row r="98" spans="1:16" x14ac:dyDescent="0.25">
      <c r="D98">
        <v>93</v>
      </c>
      <c r="E98" s="25">
        <f t="shared" si="12"/>
        <v>2.5757575757575717</v>
      </c>
      <c r="F98">
        <f t="shared" si="8"/>
        <v>1.4462414797634339E-2</v>
      </c>
      <c r="G98" t="e">
        <f t="shared" si="9"/>
        <v>#N/A</v>
      </c>
      <c r="H98">
        <f t="shared" si="10"/>
        <v>0.99499896273875188</v>
      </c>
      <c r="I98" t="e">
        <f t="shared" si="11"/>
        <v>#N/A</v>
      </c>
      <c r="K98" s="37">
        <f ca="1">Normal!D125</f>
        <v>2.2693826773503072</v>
      </c>
    </row>
    <row r="99" spans="1:16" x14ac:dyDescent="0.25">
      <c r="D99">
        <v>94</v>
      </c>
      <c r="E99" s="25">
        <f t="shared" si="12"/>
        <v>2.6363636363636322</v>
      </c>
      <c r="F99">
        <f t="shared" si="8"/>
        <v>1.2349432791521248E-2</v>
      </c>
      <c r="G99" t="e">
        <f t="shared" si="9"/>
        <v>#N/A</v>
      </c>
      <c r="H99">
        <f t="shared" si="10"/>
        <v>0.99581000627949312</v>
      </c>
      <c r="I99" t="e">
        <f t="shared" si="11"/>
        <v>#N/A</v>
      </c>
      <c r="K99" s="37">
        <f ca="1">Normal!D126</f>
        <v>0.45972100484669282</v>
      </c>
    </row>
    <row r="100" spans="1:16" x14ac:dyDescent="0.25">
      <c r="D100">
        <v>95</v>
      </c>
      <c r="E100" s="25">
        <f t="shared" si="12"/>
        <v>2.6969696969696928</v>
      </c>
      <c r="F100">
        <f t="shared" si="8"/>
        <v>1.0506498522150324E-2</v>
      </c>
      <c r="G100" t="e">
        <f t="shared" si="9"/>
        <v>#N/A</v>
      </c>
      <c r="H100">
        <f t="shared" si="10"/>
        <v>0.99650131811705234</v>
      </c>
      <c r="I100" t="e">
        <f t="shared" si="11"/>
        <v>#N/A</v>
      </c>
      <c r="K100" s="37">
        <f ca="1">Normal!D127</f>
        <v>-3.4119711731105986</v>
      </c>
    </row>
    <row r="101" spans="1:16" x14ac:dyDescent="0.25">
      <c r="D101">
        <v>96</v>
      </c>
      <c r="E101" s="25">
        <f t="shared" si="12"/>
        <v>2.7575757575757534</v>
      </c>
      <c r="F101">
        <f t="shared" si="8"/>
        <v>8.9058175134161446E-3</v>
      </c>
      <c r="G101" t="e">
        <f t="shared" si="9"/>
        <v>#N/A</v>
      </c>
      <c r="H101">
        <f t="shared" si="10"/>
        <v>0.9970884140880939</v>
      </c>
      <c r="I101" t="e">
        <f t="shared" si="11"/>
        <v>#N/A</v>
      </c>
      <c r="K101" s="37">
        <f ca="1">Normal!D128</f>
        <v>1.4187046008001158</v>
      </c>
    </row>
    <row r="102" spans="1:16" x14ac:dyDescent="0.25">
      <c r="D102">
        <v>97</v>
      </c>
      <c r="E102" s="25">
        <f t="shared" si="12"/>
        <v>2.8181818181818139</v>
      </c>
      <c r="F102">
        <f t="shared" si="8"/>
        <v>7.5213253487094126E-3</v>
      </c>
      <c r="G102" t="e">
        <f t="shared" si="9"/>
        <v>#N/A</v>
      </c>
      <c r="H102">
        <f t="shared" si="10"/>
        <v>0.99758517737203001</v>
      </c>
      <c r="I102" t="e">
        <f t="shared" si="11"/>
        <v>#N/A</v>
      </c>
      <c r="K102" s="37">
        <f ca="1">Normal!D129</f>
        <v>1.2918819526680971</v>
      </c>
    </row>
    <row r="103" spans="1:16" x14ac:dyDescent="0.25">
      <c r="D103">
        <v>98</v>
      </c>
      <c r="E103" s="25">
        <f t="shared" si="12"/>
        <v>2.8787878787878745</v>
      </c>
      <c r="F103">
        <f t="shared" si="8"/>
        <v>6.3287764285828458E-3</v>
      </c>
      <c r="G103" t="e">
        <f t="shared" si="9"/>
        <v>#N/A</v>
      </c>
      <c r="H103">
        <f t="shared" si="10"/>
        <v>0.99800396627144172</v>
      </c>
      <c r="I103" t="e">
        <f t="shared" si="11"/>
        <v>#N/A</v>
      </c>
      <c r="K103" s="37">
        <f ca="1">Normal!D130</f>
        <v>-0.51474114630480028</v>
      </c>
    </row>
    <row r="104" spans="1:16" x14ac:dyDescent="0.25">
      <c r="D104">
        <v>99</v>
      </c>
      <c r="E104" s="25">
        <f t="shared" si="12"/>
        <v>2.939393939393935</v>
      </c>
      <c r="F104">
        <f t="shared" si="8"/>
        <v>5.3057884252876728E-3</v>
      </c>
      <c r="G104" t="e">
        <f t="shared" si="9"/>
        <v>#N/A</v>
      </c>
      <c r="H104">
        <f t="shared" si="10"/>
        <v>0.99835572599923372</v>
      </c>
      <c r="I104" t="e">
        <f t="shared" si="11"/>
        <v>#N/A</v>
      </c>
      <c r="K104" s="37">
        <f ca="1">Normal!D131</f>
        <v>3.2278070021458924E-2</v>
      </c>
    </row>
    <row r="105" spans="1:16" x14ac:dyDescent="0.25">
      <c r="D105">
        <v>100</v>
      </c>
      <c r="E105" s="25">
        <f t="shared" si="12"/>
        <v>2.9999999999999956</v>
      </c>
      <c r="F105">
        <f t="shared" si="8"/>
        <v>4.4318484119380665E-3</v>
      </c>
      <c r="G105" t="e">
        <f t="shared" si="9"/>
        <v>#N/A</v>
      </c>
      <c r="H105">
        <f t="shared" si="10"/>
        <v>0.9986501019683699</v>
      </c>
      <c r="I105" t="e">
        <f t="shared" si="11"/>
        <v>#N/A</v>
      </c>
      <c r="K105" s="37">
        <f ca="1">Normal!D132</f>
        <v>-0.33565802291030994</v>
      </c>
    </row>
    <row r="106" spans="1:16" x14ac:dyDescent="0.25">
      <c r="K106" s="37"/>
    </row>
    <row r="107" spans="1:16" s="6" customFormat="1" x14ac:dyDescent="0.25">
      <c r="A107" s="6" t="s">
        <v>62</v>
      </c>
      <c r="D107" s="6" t="s">
        <v>71</v>
      </c>
      <c r="E107" s="6" t="s">
        <v>72</v>
      </c>
      <c r="F107" s="6" t="s">
        <v>73</v>
      </c>
      <c r="G107" s="6" t="s">
        <v>74</v>
      </c>
      <c r="H107" s="6" t="s">
        <v>39</v>
      </c>
      <c r="K107" s="6">
        <f>Normal!D134</f>
        <v>0</v>
      </c>
    </row>
    <row r="108" spans="1:16" x14ac:dyDescent="0.25">
      <c r="A108" t="s">
        <v>24</v>
      </c>
      <c r="B108" s="50">
        <f>Beta!D20</f>
        <v>0.1111111111111111</v>
      </c>
      <c r="D108">
        <v>1</v>
      </c>
      <c r="E108" s="94">
        <f>B112</f>
        <v>1.2505472170427321E-4</v>
      </c>
      <c r="F108">
        <f>(1/EXP(GAMMALN($B$114)+GAMMALN($B$115)-GAMMALN($B$114+$B$115)))*E108^($B$114-1)*(1-E108)^($B$115-1)</f>
        <v>7.9929995623358794</v>
      </c>
      <c r="G108">
        <f>IF(OR($E108&gt;$B$111,$E108&lt;$B$110),NA(),$F108)</f>
        <v>7.9929995623358794</v>
      </c>
      <c r="H108">
        <f>BETADIST(E108,$B$114,$B$115)</f>
        <v>1E-3</v>
      </c>
      <c r="I108">
        <f>IF(OR($E108&gt;$B$111,$E108&lt;$B$110),NA(),$H108)</f>
        <v>1E-3</v>
      </c>
      <c r="K108" s="44">
        <f ca="1">Beta!$D33</f>
        <v>3.6480069608055693E-2</v>
      </c>
      <c r="L108" t="s">
        <v>28</v>
      </c>
      <c r="M108" s="42">
        <v>0</v>
      </c>
    </row>
    <row r="109" spans="1:16" x14ac:dyDescent="0.25">
      <c r="A109" t="s">
        <v>25</v>
      </c>
      <c r="B109">
        <f>Beta!D21</f>
        <v>9.9380798999990652E-2</v>
      </c>
      <c r="D109">
        <v>2</v>
      </c>
      <c r="E109" s="94">
        <f>E108+$B$118</f>
        <v>5.9652410030145101E-3</v>
      </c>
      <c r="F109">
        <f>(1/EXP(GAMMALN($B$114)+GAMMALN($B$115)-GAMMALN($B$114+$B$115)))*E109^($B$114-1)*(1-E109)^($B$115-1)</f>
        <v>7.6718655509808666</v>
      </c>
      <c r="G109">
        <f t="shared" ref="G109:G172" si="13">IF(OR($E109&gt;$B$111,$E109&lt;$B$110),NA(),$F109)</f>
        <v>7.6718655509808666</v>
      </c>
      <c r="H109">
        <f t="shared" ref="H109:H172" si="14">BETADIST(E109,$B$114,$B$115)</f>
        <v>4.6737371996685935E-2</v>
      </c>
      <c r="I109">
        <f t="shared" ref="I109:I172" si="15">IF(OR($E109&gt;$B$111,$E109&lt;$B$110),NA(),$H109)</f>
        <v>4.6737371996685935E-2</v>
      </c>
      <c r="K109" s="44">
        <f ca="1">Beta!$D34</f>
        <v>0.13715485511246506</v>
      </c>
      <c r="L109" t="s">
        <v>29</v>
      </c>
      <c r="M109" s="42">
        <v>1</v>
      </c>
    </row>
    <row r="110" spans="1:16" x14ac:dyDescent="0.25">
      <c r="A110" t="s">
        <v>26</v>
      </c>
      <c r="B110" s="50">
        <f>Beta!D12</f>
        <v>0</v>
      </c>
      <c r="D110">
        <v>3</v>
      </c>
      <c r="E110" s="94">
        <f t="shared" ref="E110:E173" si="16">E109+$B$118</f>
        <v>1.1805427284324748E-2</v>
      </c>
      <c r="F110">
        <f t="shared" ref="F110:F173" si="17">(1/EXP(GAMMALN($B$114)+GAMMALN($B$115)-GAMMALN($B$114+$B$115)))*E110^($B$114-1)*(1-E110)^($B$115-1)</f>
        <v>7.3618546312877999</v>
      </c>
      <c r="G110">
        <f t="shared" si="13"/>
        <v>7.3618546312877999</v>
      </c>
      <c r="H110">
        <f t="shared" si="14"/>
        <v>9.063190102995787E-2</v>
      </c>
      <c r="I110">
        <f t="shared" si="15"/>
        <v>9.063190102995787E-2</v>
      </c>
      <c r="K110" s="44">
        <f ca="1">Beta!$D35</f>
        <v>2.1885316744180858E-2</v>
      </c>
    </row>
    <row r="111" spans="1:16" x14ac:dyDescent="0.25">
      <c r="A111" t="s">
        <v>27</v>
      </c>
      <c r="B111" s="50">
        <f>Beta!D13</f>
        <v>0.3</v>
      </c>
      <c r="D111">
        <v>4</v>
      </c>
      <c r="E111" s="94">
        <f t="shared" si="16"/>
        <v>1.7645613565634984E-2</v>
      </c>
      <c r="F111">
        <f t="shared" si="17"/>
        <v>7.0626438738383328</v>
      </c>
      <c r="G111">
        <f t="shared" si="13"/>
        <v>7.0626438738383328</v>
      </c>
      <c r="H111">
        <f t="shared" si="14"/>
        <v>0.13274760133889282</v>
      </c>
      <c r="I111">
        <f t="shared" si="15"/>
        <v>0.13274760133889282</v>
      </c>
      <c r="K111" s="44">
        <f ca="1">Beta!$D36</f>
        <v>4.0380485503351729E-2</v>
      </c>
      <c r="M111" t="s">
        <v>53</v>
      </c>
      <c r="N111" t="s">
        <v>54</v>
      </c>
    </row>
    <row r="112" spans="1:16" x14ac:dyDescent="0.25">
      <c r="A112" t="s">
        <v>28</v>
      </c>
      <c r="B112" s="50">
        <f>BETAINV(0.001,B114,B115)</f>
        <v>1.2505472170427321E-4</v>
      </c>
      <c r="D112">
        <v>5</v>
      </c>
      <c r="E112" s="94">
        <f t="shared" si="16"/>
        <v>2.348579984694522E-2</v>
      </c>
      <c r="F112">
        <f t="shared" si="17"/>
        <v>6.7739178935086235</v>
      </c>
      <c r="G112">
        <f t="shared" si="13"/>
        <v>6.7739178935086235</v>
      </c>
      <c r="H112">
        <f t="shared" si="14"/>
        <v>0.17314662328974822</v>
      </c>
      <c r="I112">
        <f t="shared" si="15"/>
        <v>0.17314662328974822</v>
      </c>
      <c r="K112" s="44">
        <f ca="1">Beta!$D37</f>
        <v>2.9863259497248273E-2</v>
      </c>
      <c r="L112">
        <v>1</v>
      </c>
      <c r="M112">
        <f>M108</f>
        <v>0</v>
      </c>
      <c r="N112">
        <f ca="1">O112</f>
        <v>76</v>
      </c>
      <c r="O112">
        <f ca="1">COUNTIF($K$108:$K$207,"&lt;"&amp;M113)</f>
        <v>76</v>
      </c>
      <c r="P112" s="38">
        <f>M108</f>
        <v>0</v>
      </c>
    </row>
    <row r="113" spans="1:16" x14ac:dyDescent="0.25">
      <c r="A113" t="s">
        <v>29</v>
      </c>
      <c r="B113" s="50">
        <f>BETAINV(0.999,B114,B115)</f>
        <v>0.57830349657141777</v>
      </c>
      <c r="D113">
        <v>6</v>
      </c>
      <c r="E113" s="94">
        <f t="shared" si="16"/>
        <v>2.9325986128255457E-2</v>
      </c>
      <c r="F113">
        <f t="shared" si="17"/>
        <v>6.4953687165020417</v>
      </c>
      <c r="G113">
        <f t="shared" si="13"/>
        <v>6.4953687165020417</v>
      </c>
      <c r="H113">
        <f t="shared" si="14"/>
        <v>0.21188929704700329</v>
      </c>
      <c r="I113">
        <f t="shared" si="15"/>
        <v>0.21188929704700329</v>
      </c>
      <c r="K113" s="44">
        <f ca="1">Beta!$D38</f>
        <v>0.39338566355931759</v>
      </c>
      <c r="L113">
        <v>2</v>
      </c>
      <c r="M113">
        <f>M112+($M$109-$M$108)/7</f>
        <v>0.14285714285714285</v>
      </c>
      <c r="N113">
        <f t="shared" ref="N113:N118" ca="1" si="18">O113-O112</f>
        <v>19</v>
      </c>
      <c r="O113">
        <f t="shared" ref="O113:O118" ca="1" si="19">COUNTIF($K$108:$K$207,"&lt;"&amp;M114)</f>
        <v>95</v>
      </c>
    </row>
    <row r="114" spans="1:16" x14ac:dyDescent="0.25">
      <c r="A114" t="s">
        <v>75</v>
      </c>
      <c r="B114">
        <f>Beta!C5</f>
        <v>1</v>
      </c>
      <c r="D114">
        <v>7</v>
      </c>
      <c r="E114" s="94">
        <f t="shared" si="16"/>
        <v>3.5166172409565696E-2</v>
      </c>
      <c r="F114">
        <f t="shared" si="17"/>
        <v>6.2266956489534939</v>
      </c>
      <c r="G114">
        <f t="shared" si="13"/>
        <v>6.2266956489534939</v>
      </c>
      <c r="H114">
        <f t="shared" si="14"/>
        <v>0.24903417547244022</v>
      </c>
      <c r="I114">
        <f t="shared" si="15"/>
        <v>0.24903417547244022</v>
      </c>
      <c r="K114" s="44">
        <f ca="1">Beta!$D39</f>
        <v>0.28812571258891828</v>
      </c>
      <c r="L114">
        <v>3</v>
      </c>
      <c r="M114">
        <f t="shared" ref="M114:M119" si="20">M113+($M$109-$M$108)/7</f>
        <v>0.2857142857142857</v>
      </c>
      <c r="N114">
        <f t="shared" ca="1" si="18"/>
        <v>4</v>
      </c>
      <c r="O114">
        <f t="shared" ca="1" si="19"/>
        <v>99</v>
      </c>
    </row>
    <row r="115" spans="1:16" x14ac:dyDescent="0.25">
      <c r="A115" t="s">
        <v>76</v>
      </c>
      <c r="B115">
        <f>Beta!C6</f>
        <v>8</v>
      </c>
      <c r="D115">
        <v>8</v>
      </c>
      <c r="E115" s="94">
        <f t="shared" si="16"/>
        <v>4.1006358690875933E-2</v>
      </c>
      <c r="F115">
        <f t="shared" si="17"/>
        <v>5.9676051470960223</v>
      </c>
      <c r="G115">
        <f t="shared" si="13"/>
        <v>5.9676051470960223</v>
      </c>
      <c r="H115">
        <f t="shared" si="14"/>
        <v>0.28463807626141674</v>
      </c>
      <c r="I115">
        <f t="shared" si="15"/>
        <v>0.28463807626141674</v>
      </c>
      <c r="K115" s="44">
        <f ca="1">Beta!$D40</f>
        <v>1.3199425711162827E-2</v>
      </c>
      <c r="L115">
        <v>4</v>
      </c>
      <c r="M115">
        <f t="shared" si="20"/>
        <v>0.42857142857142855</v>
      </c>
      <c r="N115">
        <f t="shared" ca="1" si="18"/>
        <v>1</v>
      </c>
      <c r="O115">
        <f t="shared" ca="1" si="19"/>
        <v>100</v>
      </c>
      <c r="P115" s="38">
        <v>0.5</v>
      </c>
    </row>
    <row r="116" spans="1:16" x14ac:dyDescent="0.25">
      <c r="A116" t="s">
        <v>96</v>
      </c>
      <c r="B116">
        <f>Beta!D24</f>
        <v>6.3911509545449881E-3</v>
      </c>
      <c r="D116">
        <v>9</v>
      </c>
      <c r="E116" s="94">
        <f t="shared" si="16"/>
        <v>4.6846544972186169E-2</v>
      </c>
      <c r="F116">
        <f t="shared" si="17"/>
        <v>5.7178106889803679</v>
      </c>
      <c r="G116">
        <f t="shared" si="13"/>
        <v>5.7178106889803679</v>
      </c>
      <c r="H116">
        <f t="shared" si="14"/>
        <v>0.31875612332542702</v>
      </c>
      <c r="I116">
        <f t="shared" si="15"/>
        <v>0.31875612332542702</v>
      </c>
      <c r="K116" s="44">
        <f ca="1">Beta!$D41</f>
        <v>3.917495082754871E-2</v>
      </c>
      <c r="L116">
        <v>5</v>
      </c>
      <c r="M116">
        <f t="shared" si="20"/>
        <v>0.5714285714285714</v>
      </c>
      <c r="N116">
        <f t="shared" ca="1" si="18"/>
        <v>0</v>
      </c>
      <c r="O116">
        <f t="shared" ca="1" si="19"/>
        <v>100</v>
      </c>
    </row>
    <row r="117" spans="1:16" x14ac:dyDescent="0.25">
      <c r="A117" t="s">
        <v>98</v>
      </c>
      <c r="B117">
        <f>Beta!D26</f>
        <v>0.31234397806636782</v>
      </c>
      <c r="D117">
        <v>10</v>
      </c>
      <c r="E117" s="94">
        <f t="shared" si="16"/>
        <v>5.2686731253496405E-2</v>
      </c>
      <c r="F117">
        <f t="shared" si="17"/>
        <v>5.4770326477380813</v>
      </c>
      <c r="G117">
        <f t="shared" si="13"/>
        <v>5.4770326477380813</v>
      </c>
      <c r="H117">
        <f t="shared" si="14"/>
        <v>0.35144178742999227</v>
      </c>
      <c r="I117">
        <f t="shared" si="15"/>
        <v>0.35144178742999227</v>
      </c>
      <c r="K117" s="44">
        <f ca="1">Beta!$D42</f>
        <v>4.3301745234842544E-2</v>
      </c>
      <c r="L117">
        <v>6</v>
      </c>
      <c r="M117">
        <f t="shared" si="20"/>
        <v>0.71428571428571419</v>
      </c>
      <c r="N117">
        <f t="shared" ca="1" si="18"/>
        <v>0</v>
      </c>
      <c r="O117">
        <f t="shared" ca="1" si="19"/>
        <v>100</v>
      </c>
    </row>
    <row r="118" spans="1:16" x14ac:dyDescent="0.25">
      <c r="A118" t="s">
        <v>199</v>
      </c>
      <c r="B118" s="50">
        <f>(B113-B112)/99</f>
        <v>5.8401862813102371E-3</v>
      </c>
      <c r="D118">
        <v>11</v>
      </c>
      <c r="E118" s="94">
        <f t="shared" si="16"/>
        <v>5.8526917534806641E-2</v>
      </c>
      <c r="F118">
        <f t="shared" si="17"/>
        <v>5.2449981663789318</v>
      </c>
      <c r="G118">
        <f t="shared" si="13"/>
        <v>5.2449981663789318</v>
      </c>
      <c r="H118">
        <f t="shared" si="14"/>
        <v>0.38274692609686972</v>
      </c>
      <c r="I118">
        <f t="shared" si="15"/>
        <v>0.38274692609686972</v>
      </c>
      <c r="K118" s="44">
        <f ca="1">Beta!$D43</f>
        <v>2.6917462614256434E-2</v>
      </c>
      <c r="L118">
        <v>7</v>
      </c>
      <c r="M118">
        <f t="shared" si="20"/>
        <v>0.85714285714285698</v>
      </c>
      <c r="N118">
        <f t="shared" ca="1" si="18"/>
        <v>0</v>
      </c>
      <c r="O118">
        <f t="shared" ca="1" si="19"/>
        <v>100</v>
      </c>
      <c r="P118" s="38">
        <f>M109</f>
        <v>1</v>
      </c>
    </row>
    <row r="119" spans="1:16" x14ac:dyDescent="0.25">
      <c r="D119">
        <v>12</v>
      </c>
      <c r="E119" s="94">
        <f t="shared" si="16"/>
        <v>6.4367103816116877E-2</v>
      </c>
      <c r="F119">
        <f t="shared" si="17"/>
        <v>5.0214410341131943</v>
      </c>
      <c r="G119">
        <f t="shared" si="13"/>
        <v>5.0214410341131943</v>
      </c>
      <c r="H119">
        <f t="shared" si="14"/>
        <v>0.41272182277951208</v>
      </c>
      <c r="I119">
        <f t="shared" si="15"/>
        <v>0.41272182277951208</v>
      </c>
      <c r="K119" s="44">
        <f ca="1">Beta!$D44</f>
        <v>3.0952316976609663E-3</v>
      </c>
      <c r="L119">
        <v>8</v>
      </c>
      <c r="M119">
        <f t="shared" si="20"/>
        <v>0.99999999999999978</v>
      </c>
    </row>
    <row r="120" spans="1:16" x14ac:dyDescent="0.25">
      <c r="D120">
        <v>13</v>
      </c>
      <c r="E120" s="94">
        <f t="shared" si="16"/>
        <v>7.0207290097427114E-2</v>
      </c>
      <c r="F120">
        <f t="shared" si="17"/>
        <v>4.8061015641895164</v>
      </c>
      <c r="G120">
        <f t="shared" si="13"/>
        <v>4.8061015641895164</v>
      </c>
      <c r="H120">
        <f t="shared" si="14"/>
        <v>0.44141522532065658</v>
      </c>
      <c r="I120">
        <f t="shared" si="15"/>
        <v>0.44141522532065658</v>
      </c>
      <c r="K120" s="44">
        <f ca="1">Beta!$D45</f>
        <v>0.19113981404193148</v>
      </c>
    </row>
    <row r="121" spans="1:16" x14ac:dyDescent="0.25">
      <c r="D121">
        <v>14</v>
      </c>
      <c r="E121" s="94">
        <f t="shared" si="16"/>
        <v>7.604747637873735E-2</v>
      </c>
      <c r="F121">
        <f t="shared" si="17"/>
        <v>4.5987264732389992</v>
      </c>
      <c r="G121">
        <f t="shared" si="13"/>
        <v>4.5987264732389992</v>
      </c>
      <c r="H121">
        <f t="shared" si="14"/>
        <v>0.46887438370086681</v>
      </c>
      <c r="I121">
        <f t="shared" si="15"/>
        <v>0.46887438370086681</v>
      </c>
      <c r="K121" s="44">
        <f ca="1">Beta!$D46</f>
        <v>1.4090691013012496E-2</v>
      </c>
    </row>
    <row r="122" spans="1:16" x14ac:dyDescent="0.25">
      <c r="D122">
        <v>15</v>
      </c>
      <c r="E122" s="94">
        <f t="shared" si="16"/>
        <v>8.1887662660047586E-2</v>
      </c>
      <c r="F122">
        <f t="shared" si="17"/>
        <v>4.3990687621161602</v>
      </c>
      <c r="G122">
        <f t="shared" si="13"/>
        <v>4.3990687621161602</v>
      </c>
      <c r="H122">
        <f t="shared" si="14"/>
        <v>0.49514508708679739</v>
      </c>
      <c r="I122">
        <f t="shared" si="15"/>
        <v>0.49514508708679739</v>
      </c>
      <c r="K122" s="44">
        <f ca="1">Beta!$D47</f>
        <v>3.0275991439968807E-2</v>
      </c>
    </row>
    <row r="123" spans="1:16" x14ac:dyDescent="0.25">
      <c r="D123">
        <v>16</v>
      </c>
      <c r="E123" s="94">
        <f t="shared" si="16"/>
        <v>8.7727848941357822E-2</v>
      </c>
      <c r="F123">
        <f t="shared" si="17"/>
        <v>4.2068875982274134</v>
      </c>
      <c r="G123">
        <f t="shared" si="13"/>
        <v>4.2068875982274134</v>
      </c>
      <c r="H123">
        <f t="shared" si="14"/>
        <v>0.52027170018789604</v>
      </c>
      <c r="I123">
        <f t="shared" si="15"/>
        <v>0.52027170018789604</v>
      </c>
      <c r="K123" s="44">
        <f ca="1">Beta!$D48</f>
        <v>4.6565458576456765E-3</v>
      </c>
      <c r="N123">
        <f ca="1">SUM(N112:N121)</f>
        <v>100</v>
      </c>
      <c r="O123">
        <f ca="1">SUM(O112:O121)</f>
        <v>670</v>
      </c>
    </row>
    <row r="124" spans="1:16" x14ac:dyDescent="0.25">
      <c r="D124">
        <v>17</v>
      </c>
      <c r="E124" s="94">
        <f t="shared" si="16"/>
        <v>9.3568035222668058E-2</v>
      </c>
      <c r="F124">
        <f t="shared" si="17"/>
        <v>4.0219481993377695</v>
      </c>
      <c r="G124">
        <f t="shared" si="13"/>
        <v>4.0219481993377695</v>
      </c>
      <c r="H124">
        <f t="shared" si="14"/>
        <v>0.54429719893020334</v>
      </c>
      <c r="I124">
        <f t="shared" si="15"/>
        <v>0.54429719893020334</v>
      </c>
      <c r="K124" s="44">
        <f ca="1">Beta!$D49</f>
        <v>6.9937142620772025E-2</v>
      </c>
    </row>
    <row r="125" spans="1:16" x14ac:dyDescent="0.25">
      <c r="D125">
        <v>18</v>
      </c>
      <c r="E125" s="94">
        <f t="shared" si="16"/>
        <v>9.9408221503978295E-2</v>
      </c>
      <c r="F125">
        <f t="shared" si="17"/>
        <v>3.8440217188463617</v>
      </c>
      <c r="G125">
        <f t="shared" si="13"/>
        <v>3.8440217188463617</v>
      </c>
      <c r="H125">
        <f t="shared" si="14"/>
        <v>0.56726320545585418</v>
      </c>
      <c r="I125">
        <f t="shared" si="15"/>
        <v>0.56726320545585418</v>
      </c>
      <c r="K125" s="44">
        <f ca="1">Beta!$D50</f>
        <v>0.12043448010651203</v>
      </c>
    </row>
    <row r="126" spans="1:16" x14ac:dyDescent="0.25">
      <c r="D126">
        <v>19</v>
      </c>
      <c r="E126" s="94">
        <f t="shared" si="16"/>
        <v>0.10524840778528853</v>
      </c>
      <c r="F126">
        <f t="shared" si="17"/>
        <v>3.6728851325214724</v>
      </c>
      <c r="G126">
        <f t="shared" si="13"/>
        <v>3.6728851325214724</v>
      </c>
      <c r="H126">
        <f t="shared" si="14"/>
        <v>0.58921002245683551</v>
      </c>
      <c r="I126">
        <f t="shared" si="15"/>
        <v>0.58921002245683551</v>
      </c>
      <c r="K126" s="44">
        <f ca="1">Beta!$D51</f>
        <v>0.10051455336261539</v>
      </c>
    </row>
    <row r="127" spans="1:16" x14ac:dyDescent="0.25">
      <c r="D127">
        <v>20</v>
      </c>
      <c r="E127" s="94">
        <f t="shared" si="16"/>
        <v>0.11108859406659877</v>
      </c>
      <c r="F127">
        <f t="shared" si="17"/>
        <v>3.5083211266857335</v>
      </c>
      <c r="G127">
        <f t="shared" si="13"/>
        <v>3.5083211266857335</v>
      </c>
      <c r="H127">
        <f t="shared" si="14"/>
        <v>0.61017666685149297</v>
      </c>
      <c r="I127">
        <f t="shared" si="15"/>
        <v>0.61017666685149297</v>
      </c>
      <c r="K127" s="44">
        <f ca="1">Beta!$D52</f>
        <v>9.6703161036883589E-2</v>
      </c>
    </row>
    <row r="128" spans="1:16" x14ac:dyDescent="0.25">
      <c r="D128">
        <v>21</v>
      </c>
      <c r="E128" s="94">
        <f t="shared" si="16"/>
        <v>0.116928780347909</v>
      </c>
      <c r="F128">
        <f t="shared" si="17"/>
        <v>3.3501179878421334</v>
      </c>
      <c r="G128">
        <f t="shared" si="13"/>
        <v>3.3501179878421334</v>
      </c>
      <c r="H128">
        <f t="shared" si="14"/>
        <v>0.63020090281223118</v>
      </c>
      <c r="I128">
        <f t="shared" si="15"/>
        <v>0.63020090281223118</v>
      </c>
      <c r="K128" s="44">
        <f ca="1">Beta!$D53</f>
        <v>0.18562986935327785</v>
      </c>
    </row>
    <row r="129" spans="4:11" x14ac:dyDescent="0.25">
      <c r="D129">
        <v>22</v>
      </c>
      <c r="E129" s="94">
        <f t="shared" si="16"/>
        <v>0.12276896662921924</v>
      </c>
      <c r="F129">
        <f t="shared" si="17"/>
        <v>3.1980694937315102</v>
      </c>
      <c r="G129">
        <f t="shared" si="13"/>
        <v>3.1980694937315102</v>
      </c>
      <c r="H129">
        <f t="shared" si="14"/>
        <v>0.64931927415279356</v>
      </c>
      <c r="I129">
        <f t="shared" si="15"/>
        <v>0.64931927415279356</v>
      </c>
      <c r="K129" s="44">
        <f ca="1">Beta!$D54</f>
        <v>0.53608285355214325</v>
      </c>
    </row>
    <row r="130" spans="4:11" x14ac:dyDescent="0.25">
      <c r="D130">
        <v>23</v>
      </c>
      <c r="E130" s="94">
        <f t="shared" si="16"/>
        <v>0.12860915291052949</v>
      </c>
      <c r="F130">
        <f t="shared" si="17"/>
        <v>3.0519748058121521</v>
      </c>
      <c r="G130">
        <f t="shared" si="13"/>
        <v>3.0519748058121521</v>
      </c>
      <c r="H130">
        <f t="shared" si="14"/>
        <v>0.66756713608345464</v>
      </c>
      <c r="I130">
        <f t="shared" si="15"/>
        <v>0.66756713608345464</v>
      </c>
      <c r="K130" s="44">
        <f ca="1">Beta!$D55</f>
        <v>4.2680501328182789E-2</v>
      </c>
    </row>
    <row r="131" spans="4:11" x14ac:dyDescent="0.25">
      <c r="D131">
        <v>24</v>
      </c>
      <c r="E131" s="94">
        <f t="shared" si="16"/>
        <v>0.13444933919183974</v>
      </c>
      <c r="F131">
        <f t="shared" si="17"/>
        <v>2.9116383631522109</v>
      </c>
      <c r="G131">
        <f t="shared" si="13"/>
        <v>2.9116383631522109</v>
      </c>
      <c r="H131">
        <f t="shared" si="14"/>
        <v>0.684978686342403</v>
      </c>
      <c r="I131">
        <f t="shared" si="15"/>
        <v>0.684978686342403</v>
      </c>
      <c r="K131" s="44">
        <f ca="1">Beta!$D56</f>
        <v>0.22672944139093909</v>
      </c>
    </row>
    <row r="132" spans="4:11" x14ac:dyDescent="0.25">
      <c r="D132">
        <v>25</v>
      </c>
      <c r="E132" s="94">
        <f t="shared" si="16"/>
        <v>0.14028952547314999</v>
      </c>
      <c r="F132">
        <f t="shared" si="17"/>
        <v>2.7768697777255311</v>
      </c>
      <c r="G132">
        <f t="shared" si="13"/>
        <v>2.7768697777255311</v>
      </c>
      <c r="H132">
        <f t="shared" si="14"/>
        <v>0.70158699571154048</v>
      </c>
      <c r="I132">
        <f t="shared" si="15"/>
        <v>0.70158699571154048</v>
      </c>
      <c r="K132" s="44">
        <f ca="1">Beta!$D57</f>
        <v>6.6270382949699641E-2</v>
      </c>
    </row>
    <row r="133" spans="4:11" x14ac:dyDescent="0.25">
      <c r="D133">
        <v>26</v>
      </c>
      <c r="E133" s="94">
        <f t="shared" si="16"/>
        <v>0.14612971175446024</v>
      </c>
      <c r="F133">
        <f t="shared" si="17"/>
        <v>2.6474837311016017</v>
      </c>
      <c r="G133">
        <f t="shared" si="13"/>
        <v>2.6474837311016017</v>
      </c>
      <c r="H133">
        <f t="shared" si="14"/>
        <v>0.71742403792486331</v>
      </c>
      <c r="I133">
        <f t="shared" si="15"/>
        <v>0.71742403792486331</v>
      </c>
      <c r="K133" s="44">
        <f ca="1">Beta!$D58</f>
        <v>0.10152684616240271</v>
      </c>
    </row>
    <row r="134" spans="4:11" x14ac:dyDescent="0.25">
      <c r="D134">
        <v>27</v>
      </c>
      <c r="E134" s="94">
        <f t="shared" si="16"/>
        <v>0.15196989803577049</v>
      </c>
      <c r="F134">
        <f t="shared" si="17"/>
        <v>2.5232998725202496</v>
      </c>
      <c r="G134">
        <f t="shared" si="13"/>
        <v>2.5232998725202496</v>
      </c>
      <c r="H134">
        <f t="shared" si="14"/>
        <v>0.73252071897754167</v>
      </c>
      <c r="I134">
        <f t="shared" si="15"/>
        <v>0.73252071897754167</v>
      </c>
      <c r="K134" s="44">
        <f ca="1">Beta!$D59</f>
        <v>0.1064078962673054</v>
      </c>
    </row>
    <row r="135" spans="4:11" x14ac:dyDescent="0.25">
      <c r="D135">
        <v>28</v>
      </c>
      <c r="E135" s="94">
        <f t="shared" si="16"/>
        <v>0.15781008431708074</v>
      </c>
      <c r="F135">
        <f t="shared" si="17"/>
        <v>2.4041427183417481</v>
      </c>
      <c r="G135">
        <f t="shared" si="13"/>
        <v>2.4041427183417481</v>
      </c>
      <c r="H135">
        <f t="shared" si="14"/>
        <v>0.74690690584375841</v>
      </c>
      <c r="I135">
        <f t="shared" si="15"/>
        <v>0.74690690584375841</v>
      </c>
      <c r="K135" s="44">
        <f ca="1">Beta!$D60</f>
        <v>0.14839111819565987</v>
      </c>
    </row>
    <row r="136" spans="4:11" x14ac:dyDescent="0.25">
      <c r="D136">
        <v>29</v>
      </c>
      <c r="E136" s="94">
        <f t="shared" si="16"/>
        <v>0.16365027059839099</v>
      </c>
      <c r="F136">
        <f t="shared" si="17"/>
        <v>2.2898415528630034</v>
      </c>
      <c r="G136">
        <f t="shared" si="13"/>
        <v>2.2898415528630034</v>
      </c>
      <c r="H136">
        <f t="shared" si="14"/>
        <v>0.76061145461130919</v>
      </c>
      <c r="I136">
        <f t="shared" si="15"/>
        <v>0.76061145461130919</v>
      </c>
      <c r="K136" s="44">
        <f ca="1">Beta!$D61</f>
        <v>2.4549672113009596E-2</v>
      </c>
    </row>
    <row r="137" spans="4:11" x14ac:dyDescent="0.25">
      <c r="D137">
        <v>30</v>
      </c>
      <c r="E137" s="94">
        <f t="shared" si="16"/>
        <v>0.16949045687970124</v>
      </c>
      <c r="F137">
        <f t="shared" si="17"/>
        <v>2.180230330490454</v>
      </c>
      <c r="G137">
        <f t="shared" si="13"/>
        <v>2.180230330490454</v>
      </c>
      <c r="H137">
        <f t="shared" si="14"/>
        <v>0.77366223804092027</v>
      </c>
      <c r="I137">
        <f t="shared" si="15"/>
        <v>0.77366223804092027</v>
      </c>
      <c r="K137" s="44">
        <f ca="1">Beta!$D62</f>
        <v>4.1240633758430179E-2</v>
      </c>
    </row>
    <row r="138" spans="4:11" x14ac:dyDescent="0.25">
      <c r="D138">
        <v>31</v>
      </c>
      <c r="E138" s="94">
        <f t="shared" si="16"/>
        <v>0.17533064316101149</v>
      </c>
      <c r="F138">
        <f t="shared" si="17"/>
        <v>2.0751475792603511</v>
      </c>
      <c r="G138">
        <f t="shared" si="13"/>
        <v>2.0751475792603511</v>
      </c>
      <c r="H138">
        <f t="shared" si="14"/>
        <v>0.78608617255817359</v>
      </c>
      <c r="I138">
        <f t="shared" si="15"/>
        <v>0.78608617255817359</v>
      </c>
      <c r="K138" s="44">
        <f ca="1">Beta!$D63</f>
        <v>9.6800621289207189E-2</v>
      </c>
    </row>
    <row r="139" spans="4:11" x14ac:dyDescent="0.25">
      <c r="D139">
        <v>32</v>
      </c>
      <c r="E139" s="94">
        <f t="shared" si="16"/>
        <v>0.18117082944232174</v>
      </c>
      <c r="F139">
        <f t="shared" si="17"/>
        <v>1.9744363056971004</v>
      </c>
      <c r="G139">
        <f t="shared" si="13"/>
        <v>1.9744363056971004</v>
      </c>
      <c r="H139">
        <f t="shared" si="14"/>
        <v>0.79790924468588531</v>
      </c>
      <c r="I139">
        <f t="shared" si="15"/>
        <v>0.79790924468588531</v>
      </c>
      <c r="K139" s="44">
        <f ca="1">Beta!$D64</f>
        <v>5.427332450090034E-2</v>
      </c>
    </row>
    <row r="140" spans="4:11" x14ac:dyDescent="0.25">
      <c r="D140">
        <v>33</v>
      </c>
      <c r="E140" s="94">
        <f t="shared" si="16"/>
        <v>0.18701101572363199</v>
      </c>
      <c r="F140">
        <f t="shared" si="17"/>
        <v>1.8779439010002676</v>
      </c>
      <c r="G140">
        <f t="shared" si="13"/>
        <v>1.8779439010002676</v>
      </c>
      <c r="H140">
        <f t="shared" si="14"/>
        <v>0.80915653692472478</v>
      </c>
      <c r="I140">
        <f t="shared" si="15"/>
        <v>0.80915653692472478</v>
      </c>
      <c r="K140" s="44">
        <f ca="1">Beta!$D65</f>
        <v>0.18912962575484049</v>
      </c>
    </row>
    <row r="141" spans="4:11" x14ac:dyDescent="0.25">
      <c r="D141">
        <v>34</v>
      </c>
      <c r="E141" s="94">
        <f t="shared" si="16"/>
        <v>0.19285120200494224</v>
      </c>
      <c r="F141">
        <f t="shared" si="17"/>
        <v>1.7855220485509555</v>
      </c>
      <c r="G141">
        <f t="shared" si="13"/>
        <v>1.7855220485509555</v>
      </c>
      <c r="H141">
        <f t="shared" si="14"/>
        <v>0.81985225308980358</v>
      </c>
      <c r="I141">
        <f t="shared" si="15"/>
        <v>0.81985225308980358</v>
      </c>
      <c r="K141" s="44">
        <f ca="1">Beta!$D66</f>
        <v>0.10219415712085111</v>
      </c>
    </row>
    <row r="142" spans="4:11" x14ac:dyDescent="0.25">
      <c r="D142">
        <v>35</v>
      </c>
      <c r="E142" s="94">
        <f t="shared" si="16"/>
        <v>0.19869138828625249</v>
      </c>
      <c r="F142">
        <f t="shared" si="17"/>
        <v>1.6970266327281864</v>
      </c>
      <c r="G142">
        <f t="shared" si="13"/>
        <v>1.6970266327281864</v>
      </c>
      <c r="H142">
        <f t="shared" si="14"/>
        <v>0.83001974311091575</v>
      </c>
      <c r="I142">
        <f t="shared" si="15"/>
        <v>0.83001974311091575</v>
      </c>
      <c r="K142" s="44">
        <f ca="1">Beta!$D67</f>
        <v>3.2987060938865199E-2</v>
      </c>
    </row>
    <row r="143" spans="4:11" x14ac:dyDescent="0.25">
      <c r="D143">
        <v>36</v>
      </c>
      <c r="E143" s="94">
        <f t="shared" si="16"/>
        <v>0.20453157456756274</v>
      </c>
      <c r="F143">
        <f t="shared" si="17"/>
        <v>1.6123176490259432</v>
      </c>
      <c r="G143">
        <f t="shared" si="13"/>
        <v>1.6123176490259432</v>
      </c>
      <c r="H143">
        <f t="shared" si="14"/>
        <v>0.8396815273040511</v>
      </c>
      <c r="I143">
        <f t="shared" si="15"/>
        <v>0.8396815273040511</v>
      </c>
      <c r="K143" s="44">
        <f ca="1">Beta!$D68</f>
        <v>0.11678691509045169</v>
      </c>
    </row>
    <row r="144" spans="4:11" x14ac:dyDescent="0.25">
      <c r="D144">
        <v>37</v>
      </c>
      <c r="E144" s="94">
        <f t="shared" si="16"/>
        <v>0.21037176084887299</v>
      </c>
      <c r="F144">
        <f t="shared" si="17"/>
        <v>1.531259115461544</v>
      </c>
      <c r="G144">
        <f t="shared" si="13"/>
        <v>1.531259115461544</v>
      </c>
      <c r="H144">
        <f t="shared" si="14"/>
        <v>0.84885932012174914</v>
      </c>
      <c r="I144">
        <f t="shared" si="15"/>
        <v>0.84885932012174914</v>
      </c>
      <c r="K144" s="44">
        <f ca="1">Beta!$D69</f>
        <v>0.324824706444511</v>
      </c>
    </row>
    <row r="145" spans="4:11" x14ac:dyDescent="0.25">
      <c r="D145">
        <v>38</v>
      </c>
      <c r="E145" s="94">
        <f t="shared" si="16"/>
        <v>0.21621194713018324</v>
      </c>
      <c r="F145">
        <f t="shared" si="17"/>
        <v>1.4537189852659758</v>
      </c>
      <c r="G145">
        <f t="shared" si="13"/>
        <v>1.4537189852659758</v>
      </c>
      <c r="H145">
        <f t="shared" si="14"/>
        <v>0.85757405338981241</v>
      </c>
      <c r="I145">
        <f t="shared" si="15"/>
        <v>0.85757405338981241</v>
      </c>
      <c r="K145" s="44">
        <f ca="1">Beta!$D70</f>
        <v>0.12356627455963154</v>
      </c>
    </row>
    <row r="146" spans="4:11" x14ac:dyDescent="0.25">
      <c r="D146">
        <v>39</v>
      </c>
      <c r="E146" s="94">
        <f t="shared" si="16"/>
        <v>0.22205213341149349</v>
      </c>
      <c r="F146">
        <f t="shared" si="17"/>
        <v>1.3795690608468785</v>
      </c>
      <c r="G146">
        <f t="shared" si="13"/>
        <v>1.3795690608468785</v>
      </c>
      <c r="H146">
        <f t="shared" si="14"/>
        <v>0.86584589903783327</v>
      </c>
      <c r="I146">
        <f t="shared" si="15"/>
        <v>0.86584589903783327</v>
      </c>
      <c r="K146" s="44">
        <f ca="1">Beta!$D71</f>
        <v>0.10438751117347078</v>
      </c>
    </row>
    <row r="147" spans="4:11" x14ac:dyDescent="0.25">
      <c r="D147">
        <v>40</v>
      </c>
      <c r="E147" s="94">
        <f t="shared" si="16"/>
        <v>0.22789231969280374</v>
      </c>
      <c r="F147">
        <f t="shared" si="17"/>
        <v>1.308684909014818</v>
      </c>
      <c r="G147">
        <f t="shared" si="13"/>
        <v>1.308684909014818</v>
      </c>
      <c r="H147">
        <f t="shared" si="14"/>
        <v>0.87369429133094223</v>
      </c>
      <c r="I147">
        <f t="shared" si="15"/>
        <v>0.87369429133094223</v>
      </c>
      <c r="K147" s="44">
        <f ca="1">Beta!$D72</f>
        <v>3.2110921980761695E-2</v>
      </c>
    </row>
    <row r="148" spans="4:11" x14ac:dyDescent="0.25">
      <c r="D148">
        <v>41</v>
      </c>
      <c r="E148" s="94">
        <f t="shared" si="16"/>
        <v>0.23373250597411399</v>
      </c>
      <c r="F148">
        <f t="shared" si="17"/>
        <v>1.2409457774634995</v>
      </c>
      <c r="G148">
        <f t="shared" si="13"/>
        <v>1.2409457774634995</v>
      </c>
      <c r="H148">
        <f t="shared" si="14"/>
        <v>0.88113794861013039</v>
      </c>
      <c r="I148">
        <f t="shared" si="15"/>
        <v>0.88113794861013039</v>
      </c>
      <c r="K148" s="44">
        <f ca="1">Beta!$D73</f>
        <v>2.054239832145446E-2</v>
      </c>
    </row>
    <row r="149" spans="4:11" x14ac:dyDescent="0.25">
      <c r="D149">
        <v>42</v>
      </c>
      <c r="E149" s="94">
        <f t="shared" si="16"/>
        <v>0.23957269225542424</v>
      </c>
      <c r="F149">
        <f t="shared" si="17"/>
        <v>1.1762345124945868</v>
      </c>
      <c r="G149">
        <f t="shared" si="13"/>
        <v>1.1762345124945868</v>
      </c>
      <c r="H149">
        <f t="shared" si="14"/>
        <v>0.88819489454843636</v>
      </c>
      <c r="I149">
        <f t="shared" si="15"/>
        <v>0.88819489454843636</v>
      </c>
      <c r="K149" s="44">
        <f ca="1">Beta!$D74</f>
        <v>5.1972078400745934E-2</v>
      </c>
    </row>
    <row r="150" spans="4:11" x14ac:dyDescent="0.25">
      <c r="D150">
        <v>43</v>
      </c>
      <c r="E150" s="94">
        <f t="shared" si="16"/>
        <v>0.24541287853673449</v>
      </c>
      <c r="F150">
        <f t="shared" si="17"/>
        <v>1.114437477977789</v>
      </c>
      <c r="G150">
        <f t="shared" si="13"/>
        <v>1.114437477977789</v>
      </c>
      <c r="H150">
        <f t="shared" si="14"/>
        <v>0.8948824789302452</v>
      </c>
      <c r="I150">
        <f t="shared" si="15"/>
        <v>0.8948824789302452</v>
      </c>
      <c r="K150" s="44">
        <f ca="1">Beta!$D75</f>
        <v>0.18872614903131557</v>
      </c>
    </row>
    <row r="151" spans="4:11" x14ac:dyDescent="0.25">
      <c r="D151">
        <v>44</v>
      </c>
      <c r="E151" s="94">
        <f t="shared" si="16"/>
        <v>0.25125306481804471</v>
      </c>
      <c r="F151">
        <f t="shared" si="17"/>
        <v>1.0554444755368582</v>
      </c>
      <c r="G151">
        <f t="shared" si="13"/>
        <v>1.0554444755368582</v>
      </c>
      <c r="H151">
        <f t="shared" si="14"/>
        <v>0.90121739796088174</v>
      </c>
      <c r="I151">
        <f t="shared" si="15"/>
        <v>0.90121739796088174</v>
      </c>
      <c r="K151" s="44">
        <f ca="1">Beta!$D76</f>
        <v>4.8836586538575652E-3</v>
      </c>
    </row>
    <row r="152" spans="4:11" x14ac:dyDescent="0.25">
      <c r="D152">
        <v>45</v>
      </c>
      <c r="E152" s="94">
        <f t="shared" si="16"/>
        <v>0.25709325109935494</v>
      </c>
      <c r="F152">
        <f t="shared" si="17"/>
        <v>0.99914866595216201</v>
      </c>
      <c r="G152">
        <f t="shared" si="13"/>
        <v>0.99914866595216201</v>
      </c>
      <c r="H152">
        <f t="shared" si="14"/>
        <v>0.90721571411363322</v>
      </c>
      <c r="I152">
        <f t="shared" si="15"/>
        <v>0.90721571411363322</v>
      </c>
      <c r="K152" s="44">
        <f ca="1">Beta!$D77</f>
        <v>6.0436762021631604E-2</v>
      </c>
    </row>
    <row r="153" spans="4:11" x14ac:dyDescent="0.25">
      <c r="D153">
        <v>46</v>
      </c>
      <c r="E153" s="94">
        <f t="shared" si="16"/>
        <v>0.26293343738066516</v>
      </c>
      <c r="F153">
        <f t="shared" si="17"/>
        <v>0.94544649177048534</v>
      </c>
      <c r="G153">
        <f t="shared" si="13"/>
        <v>0.94544649177048534</v>
      </c>
      <c r="H153">
        <f t="shared" si="14"/>
        <v>0.91289287552127774</v>
      </c>
      <c r="I153">
        <f t="shared" si="15"/>
        <v>0.91289287552127774</v>
      </c>
      <c r="K153" s="44">
        <f ca="1">Beta!$D78</f>
        <v>0.25609168512459912</v>
      </c>
    </row>
    <row r="154" spans="4:11" x14ac:dyDescent="0.25">
      <c r="D154">
        <v>47</v>
      </c>
      <c r="E154" s="94">
        <f t="shared" si="16"/>
        <v>0.26877362366197538</v>
      </c>
      <c r="F154">
        <f t="shared" si="17"/>
        <v>0.89423760111272321</v>
      </c>
      <c r="G154">
        <f t="shared" si="13"/>
        <v>0.89423760111272321</v>
      </c>
      <c r="H154">
        <f t="shared" si="14"/>
        <v>0.91826373491914226</v>
      </c>
      <c r="I154">
        <f t="shared" si="15"/>
        <v>0.91826373491914226</v>
      </c>
      <c r="K154" s="44">
        <f ca="1">Beta!$D79</f>
        <v>5.486949889330818E-2</v>
      </c>
    </row>
    <row r="155" spans="4:11" x14ac:dyDescent="0.25">
      <c r="D155">
        <v>48</v>
      </c>
      <c r="E155" s="94">
        <f t="shared" si="16"/>
        <v>0.2746138099432856</v>
      </c>
      <c r="F155">
        <f t="shared" si="17"/>
        <v>0.84542477267011296</v>
      </c>
      <c r="G155">
        <f t="shared" si="13"/>
        <v>0.84542477267011296</v>
      </c>
      <c r="H155">
        <f t="shared" si="14"/>
        <v>0.92334256814665816</v>
      </c>
      <c r="I155">
        <f t="shared" si="15"/>
        <v>0.92334256814665816</v>
      </c>
      <c r="K155" s="44">
        <f ca="1">Beta!$D80</f>
        <v>3.436321320107906E-2</v>
      </c>
    </row>
    <row r="156" spans="4:11" x14ac:dyDescent="0.25">
      <c r="D156">
        <v>49</v>
      </c>
      <c r="E156" s="94">
        <f t="shared" si="16"/>
        <v>0.28045399622459583</v>
      </c>
      <c r="F156">
        <f t="shared" si="17"/>
        <v>0.79891384187966452</v>
      </c>
      <c r="G156">
        <f t="shared" si="13"/>
        <v>0.79891384187966452</v>
      </c>
      <c r="H156">
        <f t="shared" si="14"/>
        <v>0.92814309221432922</v>
      </c>
      <c r="I156">
        <f t="shared" si="15"/>
        <v>0.92814309221432922</v>
      </c>
      <c r="K156" s="44">
        <f ca="1">Beta!$D81</f>
        <v>0.11958158517900164</v>
      </c>
    </row>
    <row r="157" spans="4:11" x14ac:dyDescent="0.25">
      <c r="D157">
        <v>50</v>
      </c>
      <c r="E157" s="94">
        <f t="shared" si="16"/>
        <v>0.28629418250590605</v>
      </c>
      <c r="F157">
        <f t="shared" si="17"/>
        <v>0.7546136282694561</v>
      </c>
      <c r="G157">
        <f t="shared" si="13"/>
        <v>0.7546136282694561</v>
      </c>
      <c r="H157">
        <f t="shared" si="14"/>
        <v>0.93267848294297073</v>
      </c>
      <c r="I157">
        <f t="shared" si="15"/>
        <v>0.93267848294297073</v>
      </c>
      <c r="K157" s="44">
        <f ca="1">Beta!$D82</f>
        <v>8.7284640588873419E-2</v>
      </c>
    </row>
    <row r="158" spans="4:11" x14ac:dyDescent="0.25">
      <c r="D158">
        <v>51</v>
      </c>
      <c r="E158" s="94">
        <f t="shared" si="16"/>
        <v>0.29213436878721627</v>
      </c>
      <c r="F158">
        <f t="shared" si="17"/>
        <v>0.71243586396442971</v>
      </c>
      <c r="G158">
        <f t="shared" si="13"/>
        <v>0.71243586396442971</v>
      </c>
      <c r="H158">
        <f t="shared" si="14"/>
        <v>0.93696139218202446</v>
      </c>
      <c r="I158">
        <f t="shared" si="15"/>
        <v>0.93696139218202446</v>
      </c>
      <c r="K158" s="44">
        <f ca="1">Beta!$D83</f>
        <v>8.5245514219174034E-2</v>
      </c>
    </row>
    <row r="159" spans="4:11" x14ac:dyDescent="0.25">
      <c r="D159">
        <v>52</v>
      </c>
      <c r="E159" s="94">
        <f t="shared" si="16"/>
        <v>0.29797455506852649</v>
      </c>
      <c r="F159">
        <f t="shared" si="17"/>
        <v>0.67229512334337016</v>
      </c>
      <c r="G159">
        <f t="shared" si="13"/>
        <v>0.67229512334337016</v>
      </c>
      <c r="H159">
        <f t="shared" si="14"/>
        <v>0.94100396461370162</v>
      </c>
      <c r="I159">
        <f t="shared" si="15"/>
        <v>0.94100396461370162</v>
      </c>
      <c r="K159" s="44">
        <f ca="1">Beta!$D84</f>
        <v>9.8887266391379347E-2</v>
      </c>
    </row>
    <row r="160" spans="4:11" x14ac:dyDescent="0.25">
      <c r="D160">
        <v>53</v>
      </c>
      <c r="E160" s="94">
        <f t="shared" si="16"/>
        <v>0.30381474134983671</v>
      </c>
      <c r="F160">
        <f t="shared" si="17"/>
        <v>0.6341087538376976</v>
      </c>
      <c r="G160" t="e">
        <f t="shared" si="13"/>
        <v>#N/A</v>
      </c>
      <c r="H160">
        <f t="shared" si="14"/>
        <v>0.94481785414964636</v>
      </c>
      <c r="I160" t="e">
        <f t="shared" si="15"/>
        <v>#N/A</v>
      </c>
      <c r="K160" s="44">
        <f ca="1">Beta!$D85</f>
        <v>0.26470878143600551</v>
      </c>
    </row>
    <row r="161" spans="4:11" x14ac:dyDescent="0.25">
      <c r="D161">
        <v>54</v>
      </c>
      <c r="E161" s="94">
        <f t="shared" si="16"/>
        <v>0.30965492763114694</v>
      </c>
      <c r="F161">
        <f t="shared" si="17"/>
        <v>0.59779680786275169</v>
      </c>
      <c r="G161" t="e">
        <f t="shared" si="13"/>
        <v>#N/A</v>
      </c>
      <c r="H161">
        <f t="shared" si="14"/>
        <v>0.9484142399267651</v>
      </c>
      <c r="I161" t="e">
        <f t="shared" si="15"/>
        <v>#N/A</v>
      </c>
      <c r="K161" s="44">
        <f ca="1">Beta!$D86</f>
        <v>3.111415214064547E-2</v>
      </c>
    </row>
    <row r="162" spans="4:11" x14ac:dyDescent="0.25">
      <c r="D162">
        <v>55</v>
      </c>
      <c r="E162" s="94">
        <f t="shared" si="16"/>
        <v>0.31549511391245716</v>
      </c>
      <c r="F162">
        <f t="shared" si="17"/>
        <v>0.56328197587221174</v>
      </c>
      <c r="G162" t="e">
        <f t="shared" si="13"/>
        <v>#N/A</v>
      </c>
      <c r="H162">
        <f t="shared" si="14"/>
        <v>0.95180384190880341</v>
      </c>
      <c r="I162" t="e">
        <f t="shared" si="15"/>
        <v>#N/A</v>
      </c>
      <c r="K162" s="44">
        <f ca="1">Beta!$D87</f>
        <v>0.2079308141474886</v>
      </c>
    </row>
    <row r="163" spans="4:11" x14ac:dyDescent="0.25">
      <c r="D163">
        <v>56</v>
      </c>
      <c r="E163" s="94">
        <f t="shared" si="16"/>
        <v>0.32133530019376738</v>
      </c>
      <c r="F163">
        <f t="shared" si="17"/>
        <v>0.53048952052630982</v>
      </c>
      <c r="G163" t="e">
        <f t="shared" si="13"/>
        <v>#N/A</v>
      </c>
      <c r="H163">
        <f t="shared" si="14"/>
        <v>0.95499693610020764</v>
      </c>
      <c r="I163" t="e">
        <f t="shared" si="15"/>
        <v>#N/A</v>
      </c>
      <c r="K163" s="44">
        <f ca="1">Beta!$D88</f>
        <v>9.1087719769025188E-2</v>
      </c>
    </row>
    <row r="164" spans="4:11" x14ac:dyDescent="0.25">
      <c r="D164">
        <v>57</v>
      </c>
      <c r="E164" s="94">
        <f t="shared" si="16"/>
        <v>0.3271754864750776</v>
      </c>
      <c r="F164">
        <f t="shared" si="17"/>
        <v>0.49934721196450149</v>
      </c>
      <c r="G164" t="e">
        <f t="shared" si="13"/>
        <v>#N/A</v>
      </c>
      <c r="H164">
        <f t="shared" si="14"/>
        <v>0.95800336937874486</v>
      </c>
      <c r="I164" t="e">
        <f t="shared" si="15"/>
        <v>#N/A</v>
      </c>
      <c r="K164" s="44">
        <f ca="1">Beta!$D89</f>
        <v>0.19642897570550211</v>
      </c>
    </row>
    <row r="165" spans="4:11" x14ac:dyDescent="0.25">
      <c r="D165">
        <v>58</v>
      </c>
      <c r="E165" s="94">
        <f t="shared" si="16"/>
        <v>0.33301567275638783</v>
      </c>
      <c r="F165">
        <f t="shared" si="17"/>
        <v>0.46978526417324162</v>
      </c>
      <c r="G165" t="e">
        <f t="shared" si="13"/>
        <v>#N/A</v>
      </c>
      <c r="H165">
        <f t="shared" si="14"/>
        <v>0.96083257395330612</v>
      </c>
      <c r="I165" t="e">
        <f t="shared" si="15"/>
        <v>#N/A</v>
      </c>
      <c r="K165" s="44">
        <f ca="1">Beta!$D90</f>
        <v>1.8850447362686394E-2</v>
      </c>
    </row>
    <row r="166" spans="4:11" x14ac:dyDescent="0.25">
      <c r="D166">
        <v>59</v>
      </c>
      <c r="E166" s="94">
        <f t="shared" si="16"/>
        <v>0.33885585903769805</v>
      </c>
      <c r="F166">
        <f t="shared" si="17"/>
        <v>0.4417362724395264</v>
      </c>
      <c r="G166" t="e">
        <f t="shared" si="13"/>
        <v>#N/A</v>
      </c>
      <c r="H166">
        <f t="shared" si="14"/>
        <v>0.96349358145326014</v>
      </c>
      <c r="I166" t="e">
        <f t="shared" si="15"/>
        <v>#N/A</v>
      </c>
      <c r="K166" s="44">
        <f ca="1">Beta!$D91</f>
        <v>0.20176956279967828</v>
      </c>
    </row>
    <row r="167" spans="4:11" x14ac:dyDescent="0.25">
      <c r="D167">
        <v>60</v>
      </c>
      <c r="E167" s="94">
        <f t="shared" si="16"/>
        <v>0.34469604531900827</v>
      </c>
      <c r="F167">
        <f t="shared" si="17"/>
        <v>0.4151351518808577</v>
      </c>
      <c r="G167" t="e">
        <f t="shared" si="13"/>
        <v>#N/A</v>
      </c>
      <c r="H167">
        <f t="shared" si="14"/>
        <v>0.96599503665567266</v>
      </c>
      <c r="I167" t="e">
        <f t="shared" si="15"/>
        <v>#N/A</v>
      </c>
      <c r="K167" s="44">
        <f ca="1">Beta!$D92</f>
        <v>7.4001645283679612E-2</v>
      </c>
    </row>
    <row r="168" spans="4:11" x14ac:dyDescent="0.25">
      <c r="D168">
        <v>61</v>
      </c>
      <c r="E168" s="94">
        <f t="shared" si="16"/>
        <v>0.35053623160031849</v>
      </c>
      <c r="F168">
        <f t="shared" si="17"/>
        <v>0.3899190770422859</v>
      </c>
      <c r="G168" t="e">
        <f t="shared" si="13"/>
        <v>#N/A</v>
      </c>
      <c r="H168">
        <f t="shared" si="14"/>
        <v>0.96834521085664904</v>
      </c>
      <c r="I168" t="e">
        <f t="shared" si="15"/>
        <v>#N/A</v>
      </c>
      <c r="K168" s="44">
        <f ca="1">Beta!$D93</f>
        <v>2.2919913609508739E-2</v>
      </c>
    </row>
    <row r="169" spans="4:11" x14ac:dyDescent="0.25">
      <c r="D169">
        <v>62</v>
      </c>
      <c r="E169" s="94">
        <f t="shared" si="16"/>
        <v>0.35637641788162872</v>
      </c>
      <c r="F169">
        <f t="shared" si="17"/>
        <v>0.36602742255118659</v>
      </c>
      <c r="G169" t="e">
        <f t="shared" si="13"/>
        <v>#N/A</v>
      </c>
      <c r="H169">
        <f t="shared" si="14"/>
        <v>0.97055201489300647</v>
      </c>
      <c r="I169" t="e">
        <f t="shared" si="15"/>
        <v>#N/A</v>
      </c>
      <c r="K169" s="44">
        <f ca="1">Beta!$D94</f>
        <v>1.9829024569793425E-2</v>
      </c>
    </row>
    <row r="170" spans="4:11" x14ac:dyDescent="0.25">
      <c r="D170">
        <v>63</v>
      </c>
      <c r="E170" s="94">
        <f t="shared" si="16"/>
        <v>0.36221660416293894</v>
      </c>
      <c r="F170">
        <f t="shared" si="17"/>
        <v>0.34340170482043092</v>
      </c>
      <c r="G170" t="e">
        <f t="shared" si="13"/>
        <v>#N/A</v>
      </c>
      <c r="H170">
        <f t="shared" si="14"/>
        <v>0.97262301182042377</v>
      </c>
      <c r="I170" t="e">
        <f t="shared" si="15"/>
        <v>#N/A</v>
      </c>
      <c r="K170" s="44">
        <f ca="1">Beta!$D95</f>
        <v>3.7688067665525913E-3</v>
      </c>
    </row>
    <row r="171" spans="4:11" x14ac:dyDescent="0.25">
      <c r="D171">
        <v>64</v>
      </c>
      <c r="E171" s="94">
        <f t="shared" si="16"/>
        <v>0.36805679044424916</v>
      </c>
      <c r="F171">
        <f t="shared" si="17"/>
        <v>0.32198552479060216</v>
      </c>
      <c r="G171" t="e">
        <f t="shared" si="13"/>
        <v>#N/A</v>
      </c>
      <c r="H171">
        <f t="shared" si="14"/>
        <v>0.97456542925416689</v>
      </c>
      <c r="I171" t="e">
        <f t="shared" si="15"/>
        <v>#N/A</v>
      </c>
      <c r="K171" s="44">
        <f ca="1">Beta!$D96</f>
        <v>3.0960538964524515E-2</v>
      </c>
    </row>
    <row r="172" spans="4:11" x14ac:dyDescent="0.25">
      <c r="D172">
        <v>65</v>
      </c>
      <c r="E172" s="94">
        <f t="shared" si="16"/>
        <v>0.37389697672555938</v>
      </c>
      <c r="F172">
        <f t="shared" si="17"/>
        <v>0.30172451170191694</v>
      </c>
      <c r="G172" t="e">
        <f t="shared" si="13"/>
        <v>#N/A</v>
      </c>
      <c r="H172">
        <f t="shared" si="14"/>
        <v>0.97638617137842831</v>
      </c>
      <c r="I172" t="e">
        <f t="shared" si="15"/>
        <v>#N/A</v>
      </c>
      <c r="K172" s="44">
        <f ca="1">Beta!$D97</f>
        <v>2.8367430926984752E-2</v>
      </c>
    </row>
    <row r="173" spans="4:11" x14ac:dyDescent="0.25">
      <c r="D173">
        <v>66</v>
      </c>
      <c r="E173" s="94">
        <f t="shared" si="16"/>
        <v>0.3797371630068696</v>
      </c>
      <c r="F173">
        <f t="shared" si="17"/>
        <v>0.28256626788650951</v>
      </c>
      <c r="G173" t="e">
        <f t="shared" ref="G173:G207" si="21">IF(OR($E173&gt;$B$111,$E173&lt;$B$110),NA(),$F173)</f>
        <v>#N/A</v>
      </c>
      <c r="H173">
        <f t="shared" ref="H173:H207" si="22">BETADIST(E173,$B$114,$B$115)</f>
        <v>0.97809183063026917</v>
      </c>
      <c r="I173" t="e">
        <f t="shared" ref="I173:I207" si="23">IF(OR($E173&gt;$B$111,$E173&lt;$B$110),NA(),$H173)</f>
        <v>#N/A</v>
      </c>
      <c r="K173" s="44">
        <f ca="1">Beta!$D98</f>
        <v>9.9438786438506455E-2</v>
      </c>
    </row>
    <row r="174" spans="4:11" x14ac:dyDescent="0.25">
      <c r="D174">
        <v>67</v>
      </c>
      <c r="E174" s="94">
        <f t="shared" ref="E174:E207" si="24">E173+$B$118</f>
        <v>0.38557734928817983</v>
      </c>
      <c r="F174">
        <f t="shared" ref="F174:F207" si="25">(1/EXP(GAMMALN($B$114)+GAMMALN($B$115)-GAMMALN($B$114+$B$115)))*E174^($B$114-1)*(1-E174)^($B$115-1)</f>
        <v>0.26446031457173191</v>
      </c>
      <c r="G174" t="e">
        <f t="shared" si="21"/>
        <v>#N/A</v>
      </c>
      <c r="H174">
        <f t="shared" si="22"/>
        <v>0.97968869906409439</v>
      </c>
      <c r="I174" t="e">
        <f t="shared" si="23"/>
        <v>#N/A</v>
      </c>
      <c r="K174" s="44">
        <f ca="1">Beta!$D99</f>
        <v>4.262464442486795E-2</v>
      </c>
    </row>
    <row r="175" spans="4:11" x14ac:dyDescent="0.25">
      <c r="D175">
        <v>68</v>
      </c>
      <c r="E175" s="94">
        <f t="shared" si="24"/>
        <v>0.39141753556949005</v>
      </c>
      <c r="F175">
        <f t="shared" si="25"/>
        <v>0.24735803868512893</v>
      </c>
      <c r="G175" t="e">
        <f t="shared" si="21"/>
        <v>#N/A</v>
      </c>
      <c r="H175">
        <f t="shared" si="22"/>
        <v>0.9811827794025384</v>
      </c>
      <c r="I175" t="e">
        <f t="shared" si="23"/>
        <v>#N/A</v>
      </c>
      <c r="K175" s="44">
        <f ca="1">Beta!$D100</f>
        <v>2.3753081225079832E-2</v>
      </c>
    </row>
    <row r="176" spans="4:11" x14ac:dyDescent="0.25">
      <c r="D176">
        <v>69</v>
      </c>
      <c r="E176" s="94">
        <f t="shared" si="24"/>
        <v>0.39725772185080027</v>
      </c>
      <c r="F176">
        <f t="shared" si="25"/>
        <v>0.2312126406517441</v>
      </c>
      <c r="G176" t="e">
        <f t="shared" si="21"/>
        <v>#N/A</v>
      </c>
      <c r="H176">
        <f t="shared" si="22"/>
        <v>0.98257979577958454</v>
      </c>
      <c r="I176" t="e">
        <f t="shared" si="23"/>
        <v>#N/A</v>
      </c>
      <c r="K176" s="44">
        <f ca="1">Beta!$D101</f>
        <v>0.14643664869867545</v>
      </c>
    </row>
    <row r="177" spans="4:11" x14ac:dyDescent="0.25">
      <c r="D177">
        <v>70</v>
      </c>
      <c r="E177" s="94">
        <f t="shared" si="24"/>
        <v>0.40309790813211049</v>
      </c>
      <c r="F177">
        <f t="shared" si="25"/>
        <v>0.21597908317441328</v>
      </c>
      <c r="G177" t="e">
        <f t="shared" si="21"/>
        <v>#N/A</v>
      </c>
      <c r="H177">
        <f t="shared" si="22"/>
        <v>0.98388520418168557</v>
      </c>
      <c r="I177" t="e">
        <f t="shared" si="23"/>
        <v>#N/A</v>
      </c>
      <c r="K177" s="44">
        <f ca="1">Beta!$D102</f>
        <v>0.100345133994313</v>
      </c>
    </row>
    <row r="178" spans="4:11" x14ac:dyDescent="0.25">
      <c r="D178">
        <v>71</v>
      </c>
      <c r="E178" s="94">
        <f t="shared" si="24"/>
        <v>0.40893809441342072</v>
      </c>
      <c r="F178">
        <f t="shared" si="25"/>
        <v>0.20161404098770111</v>
      </c>
      <c r="G178" t="e">
        <f t="shared" si="21"/>
        <v>#N/A</v>
      </c>
      <c r="H178">
        <f t="shared" si="22"/>
        <v>0.9851042025925999</v>
      </c>
      <c r="I178" t="e">
        <f t="shared" si="23"/>
        <v>#N/A</v>
      </c>
      <c r="K178" s="44">
        <f ca="1">Beta!$D103</f>
        <v>0.19519874821348415</v>
      </c>
    </row>
    <row r="179" spans="4:11" x14ac:dyDescent="0.25">
      <c r="D179">
        <v>72</v>
      </c>
      <c r="E179" s="94">
        <f t="shared" si="24"/>
        <v>0.41477828069473094</v>
      </c>
      <c r="F179">
        <f t="shared" si="25"/>
        <v>0.1880758515761396</v>
      </c>
      <c r="G179" t="e">
        <f t="shared" si="21"/>
        <v>#N/A</v>
      </c>
      <c r="H179">
        <f t="shared" si="22"/>
        <v>0.98624174084760119</v>
      </c>
      <c r="I179" t="e">
        <f t="shared" si="23"/>
        <v>#N/A</v>
      </c>
      <c r="K179" s="44">
        <f ca="1">Beta!$D104</f>
        <v>0.12664035897521753</v>
      </c>
    </row>
    <row r="180" spans="4:11" x14ac:dyDescent="0.25">
      <c r="D180">
        <v>73</v>
      </c>
      <c r="E180" s="94">
        <f t="shared" si="24"/>
        <v>0.42061846697604116</v>
      </c>
      <c r="F180">
        <f t="shared" si="25"/>
        <v>0.17532446684742187</v>
      </c>
      <c r="G180" t="e">
        <f t="shared" si="21"/>
        <v>#N/A</v>
      </c>
      <c r="H180">
        <f t="shared" si="22"/>
        <v>0.98730253020266656</v>
      </c>
      <c r="I180" t="e">
        <f t="shared" si="23"/>
        <v>#N/A</v>
      </c>
      <c r="K180" s="44">
        <f ca="1">Beta!$D105</f>
        <v>0.12806449879750481</v>
      </c>
    </row>
    <row r="181" spans="4:11" x14ac:dyDescent="0.25">
      <c r="D181">
        <v>74</v>
      </c>
      <c r="E181" s="94">
        <f t="shared" si="24"/>
        <v>0.42645865325735138</v>
      </c>
      <c r="F181">
        <f t="shared" si="25"/>
        <v>0.16332140575121099</v>
      </c>
      <c r="G181" t="e">
        <f t="shared" si="21"/>
        <v>#N/A</v>
      </c>
      <c r="H181">
        <f t="shared" si="22"/>
        <v>0.98829105262419348</v>
      </c>
      <c r="I181" t="e">
        <f t="shared" si="23"/>
        <v>#N/A</v>
      </c>
      <c r="K181" s="44">
        <f ca="1">Beta!$D106</f>
        <v>8.8923292481927763E-2</v>
      </c>
    </row>
    <row r="182" spans="4:11" x14ac:dyDescent="0.25">
      <c r="D182">
        <v>75</v>
      </c>
      <c r="E182" s="94">
        <f t="shared" si="24"/>
        <v>0.43229883953866161</v>
      </c>
      <c r="F182">
        <f t="shared" si="25"/>
        <v>0.15202970783421832</v>
      </c>
      <c r="G182" t="e">
        <f t="shared" si="21"/>
        <v>#N/A</v>
      </c>
      <c r="H182">
        <f t="shared" si="22"/>
        <v>0.98921156980473957</v>
      </c>
      <c r="I182" t="e">
        <f t="shared" si="23"/>
        <v>#N/A</v>
      </c>
      <c r="K182" s="44">
        <f ca="1">Beta!$D107</f>
        <v>0.26422245462663196</v>
      </c>
    </row>
    <row r="183" spans="4:11" x14ac:dyDescent="0.25">
      <c r="D183">
        <v>76</v>
      </c>
      <c r="E183" s="94">
        <f t="shared" si="24"/>
        <v>0.43813902581997183</v>
      </c>
      <c r="F183">
        <f t="shared" si="25"/>
        <v>0.14141388772220809</v>
      </c>
      <c r="G183" t="e">
        <f t="shared" si="21"/>
        <v>#N/A</v>
      </c>
      <c r="H183">
        <f t="shared" si="22"/>
        <v>0.99006813191022691</v>
      </c>
      <c r="I183" t="e">
        <f t="shared" si="23"/>
        <v>#N/A</v>
      </c>
      <c r="K183" s="44">
        <f ca="1">Beta!$D108</f>
        <v>6.9818389384176741E-2</v>
      </c>
    </row>
    <row r="184" spans="4:11" x14ac:dyDescent="0.25">
      <c r="D184">
        <v>77</v>
      </c>
      <c r="E184" s="94">
        <f t="shared" si="24"/>
        <v>0.44397921210128205</v>
      </c>
      <c r="F184">
        <f t="shared" si="25"/>
        <v>0.13143989051958593</v>
      </c>
      <c r="G184" t="e">
        <f t="shared" si="21"/>
        <v>#N/A</v>
      </c>
      <c r="H184">
        <f t="shared" si="22"/>
        <v>0.9908645860639973</v>
      </c>
      <c r="I184" t="e">
        <f t="shared" si="23"/>
        <v>#N/A</v>
      </c>
      <c r="K184" s="44">
        <f ca="1">Beta!$D109</f>
        <v>8.2239642983256353E-2</v>
      </c>
    </row>
    <row r="185" spans="4:11" x14ac:dyDescent="0.25">
      <c r="D185">
        <v>78</v>
      </c>
      <c r="E185" s="94">
        <f t="shared" si="24"/>
        <v>0.44981939838259227</v>
      </c>
      <c r="F185">
        <f t="shared" si="25"/>
        <v>0.12207504811722665</v>
      </c>
      <c r="G185" t="e">
        <f t="shared" si="21"/>
        <v>#N/A</v>
      </c>
      <c r="H185">
        <f t="shared" si="22"/>
        <v>0.99160458457304879</v>
      </c>
      <c r="I185" t="e">
        <f t="shared" si="23"/>
        <v>#N/A</v>
      </c>
      <c r="K185" s="44">
        <f ca="1">Beta!$D110</f>
        <v>0.12265664577081759</v>
      </c>
    </row>
    <row r="186" spans="4:11" x14ac:dyDescent="0.25">
      <c r="D186">
        <v>79</v>
      </c>
      <c r="E186" s="94">
        <f t="shared" si="24"/>
        <v>0.45565958466390249</v>
      </c>
      <c r="F186">
        <f t="shared" si="25"/>
        <v>0.11328803639919853</v>
      </c>
      <c r="G186" t="e">
        <f t="shared" si="21"/>
        <v>#N/A</v>
      </c>
      <c r="H186">
        <f t="shared" si="22"/>
        <v>0.99229159290173119</v>
      </c>
      <c r="I186" t="e">
        <f t="shared" si="23"/>
        <v>#N/A</v>
      </c>
      <c r="K186" s="44">
        <f ca="1">Beta!$D111</f>
        <v>0.13101404617585599</v>
      </c>
    </row>
    <row r="187" spans="4:11" x14ac:dyDescent="0.25">
      <c r="D187">
        <v>80</v>
      </c>
      <c r="E187" s="94">
        <f t="shared" si="24"/>
        <v>0.46149977094521272</v>
      </c>
      <c r="F187">
        <f t="shared" si="25"/>
        <v>0.10504883333904051</v>
      </c>
      <c r="G187" t="e">
        <f t="shared" si="21"/>
        <v>#N/A</v>
      </c>
      <c r="H187">
        <f t="shared" si="22"/>
        <v>0.99292889739812362</v>
      </c>
      <c r="I187" t="e">
        <f t="shared" si="23"/>
        <v>#N/A</v>
      </c>
      <c r="K187" s="44">
        <f ca="1">Beta!$D112</f>
        <v>6.5391991700390575E-2</v>
      </c>
    </row>
    <row r="188" spans="4:11" x14ac:dyDescent="0.25">
      <c r="D188">
        <v>81</v>
      </c>
      <c r="E188" s="94">
        <f t="shared" si="24"/>
        <v>0.46733995722652294</v>
      </c>
      <c r="F188">
        <f t="shared" si="25"/>
        <v>9.7328677976248279E-2</v>
      </c>
      <c r="G188" t="e">
        <f t="shared" si="21"/>
        <v>#N/A</v>
      </c>
      <c r="H188">
        <f t="shared" si="22"/>
        <v>0.99351961277826073</v>
      </c>
      <c r="I188" t="e">
        <f t="shared" si="23"/>
        <v>#N/A</v>
      </c>
      <c r="K188" s="44">
        <f ca="1">Beta!$D113</f>
        <v>3.2046454915424004E-3</v>
      </c>
    </row>
    <row r="189" spans="4:11" x14ac:dyDescent="0.25">
      <c r="D189">
        <v>82</v>
      </c>
      <c r="E189" s="94">
        <f t="shared" si="24"/>
        <v>0.47318014350783316</v>
      </c>
      <c r="F189">
        <f t="shared" si="25"/>
        <v>9.0100030263627201E-2</v>
      </c>
      <c r="G189" t="e">
        <f t="shared" si="21"/>
        <v>#N/A</v>
      </c>
      <c r="H189">
        <f t="shared" si="22"/>
        <v>0.9940666893733221</v>
      </c>
      <c r="I189" t="e">
        <f t="shared" si="23"/>
        <v>#N/A</v>
      </c>
      <c r="K189" s="44">
        <f ca="1">Beta!$D114</f>
        <v>5.3611341044543952E-2</v>
      </c>
    </row>
    <row r="190" spans="4:11" x14ac:dyDescent="0.25">
      <c r="D190">
        <v>83</v>
      </c>
      <c r="E190" s="94">
        <f t="shared" si="24"/>
        <v>0.47902032978914338</v>
      </c>
      <c r="F190">
        <f t="shared" si="25"/>
        <v>8.3336531776166664E-2</v>
      </c>
      <c r="G190" t="e">
        <f t="shared" si="21"/>
        <v>#N/A</v>
      </c>
      <c r="H190">
        <f t="shared" si="22"/>
        <v>0.99457292014484211</v>
      </c>
      <c r="I190" t="e">
        <f t="shared" si="23"/>
        <v>#N/A</v>
      </c>
      <c r="K190" s="44">
        <f ca="1">Beta!$D115</f>
        <v>0.11505714643580012</v>
      </c>
    </row>
    <row r="191" spans="4:11" x14ac:dyDescent="0.25">
      <c r="D191">
        <v>84</v>
      </c>
      <c r="E191" s="94">
        <f t="shared" si="24"/>
        <v>0.48486051607045361</v>
      </c>
      <c r="F191">
        <f t="shared" si="25"/>
        <v>7.7012967272094474E-2</v>
      </c>
      <c r="G191" t="e">
        <f t="shared" si="21"/>
        <v>#N/A</v>
      </c>
      <c r="H191">
        <f t="shared" si="22"/>
        <v>0.99504094747294625</v>
      </c>
      <c r="I191" t="e">
        <f t="shared" si="23"/>
        <v>#N/A</v>
      </c>
      <c r="K191" s="44">
        <f ca="1">Beta!$D116</f>
        <v>0.1241947201129433</v>
      </c>
    </row>
    <row r="192" spans="4:11" x14ac:dyDescent="0.25">
      <c r="D192">
        <v>85</v>
      </c>
      <c r="E192" s="94">
        <f t="shared" si="24"/>
        <v>0.49070070235176383</v>
      </c>
      <c r="F192">
        <f t="shared" si="25"/>
        <v>7.1105227096765936E-2</v>
      </c>
      <c r="G192" t="e">
        <f t="shared" si="21"/>
        <v>#N/A</v>
      </c>
      <c r="H192">
        <f t="shared" si="22"/>
        <v>0.99547326972256234</v>
      </c>
      <c r="I192" t="e">
        <f t="shared" si="23"/>
        <v>#N/A</v>
      </c>
      <c r="K192" s="44">
        <f ca="1">Beta!$D117</f>
        <v>7.0349230894091161E-2</v>
      </c>
    </row>
    <row r="193" spans="4:11" x14ac:dyDescent="0.25">
      <c r="D193">
        <v>86</v>
      </c>
      <c r="E193" s="94">
        <f t="shared" si="24"/>
        <v>0.49654088863307405</v>
      </c>
      <c r="F193">
        <f t="shared" si="25"/>
        <v>6.5590270420045629E-2</v>
      </c>
      <c r="G193" t="e">
        <f t="shared" si="21"/>
        <v>#N/A</v>
      </c>
      <c r="H193">
        <f t="shared" si="22"/>
        <v>0.99587224759250093</v>
      </c>
      <c r="I193" t="e">
        <f t="shared" si="23"/>
        <v>#N/A</v>
      </c>
      <c r="K193" s="44">
        <f ca="1">Beta!$D118</f>
        <v>0.20004614218165906</v>
      </c>
    </row>
    <row r="194" spans="4:11" x14ac:dyDescent="0.25">
      <c r="D194">
        <v>87</v>
      </c>
      <c r="E194" s="94">
        <f t="shared" si="24"/>
        <v>0.50238107491438433</v>
      </c>
      <c r="F194">
        <f t="shared" si="25"/>
        <v>6.0446089297837659E-2</v>
      </c>
      <c r="G194" t="e">
        <f t="shared" si="21"/>
        <v>#N/A</v>
      </c>
      <c r="H194">
        <f t="shared" si="22"/>
        <v>0.99624011025224757</v>
      </c>
      <c r="I194" t="e">
        <f t="shared" si="23"/>
        <v>#N/A</v>
      </c>
      <c r="K194" s="44">
        <f ca="1">Beta!$D119</f>
        <v>1.6470292075640703E-2</v>
      </c>
    </row>
    <row r="195" spans="4:11" x14ac:dyDescent="0.25">
      <c r="D195">
        <v>88</v>
      </c>
      <c r="E195" s="94">
        <f t="shared" si="24"/>
        <v>0.50822126119569455</v>
      </c>
      <c r="F195">
        <f t="shared" si="25"/>
        <v>5.5651673548421265E-2</v>
      </c>
      <c r="G195" t="e">
        <f t="shared" si="21"/>
        <v>#N/A</v>
      </c>
      <c r="H195">
        <f t="shared" si="22"/>
        <v>0.99657896127125101</v>
      </c>
      <c r="I195" t="e">
        <f t="shared" si="23"/>
        <v>#N/A</v>
      </c>
      <c r="K195" s="44">
        <f ca="1">Beta!$D120</f>
        <v>9.7989870441183347E-2</v>
      </c>
    </row>
    <row r="196" spans="4:11" x14ac:dyDescent="0.25">
      <c r="D196">
        <v>89</v>
      </c>
      <c r="E196" s="94">
        <f t="shared" si="24"/>
        <v>0.51406144747700477</v>
      </c>
      <c r="F196">
        <f t="shared" si="25"/>
        <v>5.1186976434247751E-2</v>
      </c>
      <c r="G196" t="e">
        <f t="shared" si="21"/>
        <v>#N/A</v>
      </c>
      <c r="H196">
        <f t="shared" si="22"/>
        <v>0.9968907843454391</v>
      </c>
      <c r="I196" t="e">
        <f t="shared" si="23"/>
        <v>#N/A</v>
      </c>
      <c r="K196" s="44">
        <f ca="1">Beta!$D121</f>
        <v>9.6405392062243078E-2</v>
      </c>
    </row>
    <row r="197" spans="4:11" x14ac:dyDescent="0.25">
      <c r="D197">
        <v>90</v>
      </c>
      <c r="E197" s="94">
        <f t="shared" si="24"/>
        <v>0.519901633758315</v>
      </c>
      <c r="F197">
        <f t="shared" si="25"/>
        <v>4.7032881139856306E-2</v>
      </c>
      <c r="G197" t="e">
        <f t="shared" si="21"/>
        <v>#N/A</v>
      </c>
      <c r="H197">
        <f t="shared" si="22"/>
        <v>0.99717744882563952</v>
      </c>
      <c r="I197" t="e">
        <f t="shared" si="23"/>
        <v>#N/A</v>
      </c>
      <c r="K197" s="44">
        <f ca="1">Beta!$D122</f>
        <v>1.9744237147058811E-2</v>
      </c>
    </row>
    <row r="198" spans="4:11" x14ac:dyDescent="0.25">
      <c r="D198">
        <v>91</v>
      </c>
      <c r="E198" s="94">
        <f t="shared" si="24"/>
        <v>0.52574182003962522</v>
      </c>
      <c r="F198">
        <f t="shared" si="25"/>
        <v>4.3171168036564234E-2</v>
      </c>
      <c r="G198" t="e">
        <f t="shared" si="21"/>
        <v>#N/A</v>
      </c>
      <c r="H198">
        <f t="shared" si="22"/>
        <v>0.99744071505252696</v>
      </c>
      <c r="I198" t="e">
        <f t="shared" si="23"/>
        <v>#N/A</v>
      </c>
      <c r="K198" s="44">
        <f ca="1">Beta!$D123</f>
        <v>4.0195749985135837E-2</v>
      </c>
    </row>
    <row r="199" spans="4:11" x14ac:dyDescent="0.25">
      <c r="D199">
        <v>92</v>
      </c>
      <c r="E199" s="94">
        <f t="shared" si="24"/>
        <v>0.53158200632093544</v>
      </c>
      <c r="F199">
        <f t="shared" si="25"/>
        <v>3.9584482724588962E-2</v>
      </c>
      <c r="G199" t="e">
        <f t="shared" si="21"/>
        <v>#N/A</v>
      </c>
      <c r="H199">
        <f t="shared" si="22"/>
        <v>0.99768223950266555</v>
      </c>
      <c r="I199" t="e">
        <f t="shared" si="23"/>
        <v>#N/A</v>
      </c>
      <c r="K199" s="44">
        <f ca="1">Beta!$D124</f>
        <v>0.17529681815155651</v>
      </c>
    </row>
    <row r="200" spans="4:11" x14ac:dyDescent="0.25">
      <c r="D200">
        <v>93</v>
      </c>
      <c r="E200" s="94">
        <f t="shared" si="24"/>
        <v>0.53742219260224566</v>
      </c>
      <c r="F200">
        <f t="shared" si="25"/>
        <v>3.6256304843257571E-2</v>
      </c>
      <c r="G200" t="e">
        <f t="shared" si="21"/>
        <v>#N/A</v>
      </c>
      <c r="H200">
        <f t="shared" si="22"/>
        <v>0.99790357975015764</v>
      </c>
      <c r="I200" t="e">
        <f t="shared" si="23"/>
        <v>#N/A</v>
      </c>
      <c r="K200" s="44">
        <f ca="1">Beta!$D125</f>
        <v>0.26225875855848002</v>
      </c>
    </row>
    <row r="201" spans="4:11" x14ac:dyDescent="0.25">
      <c r="D201">
        <v>94</v>
      </c>
      <c r="E201" s="94">
        <f t="shared" si="24"/>
        <v>0.54326237888355589</v>
      </c>
      <c r="F201">
        <f t="shared" si="25"/>
        <v>3.3170917639961175E-2</v>
      </c>
      <c r="G201" t="e">
        <f t="shared" si="21"/>
        <v>#N/A</v>
      </c>
      <c r="H201">
        <f t="shared" si="22"/>
        <v>0.9981061992483593</v>
      </c>
      <c r="I201" t="e">
        <f t="shared" si="23"/>
        <v>#N/A</v>
      </c>
      <c r="K201" s="44">
        <f ca="1">Beta!$D126</f>
        <v>0.29815871024622365</v>
      </c>
    </row>
    <row r="202" spans="4:11" x14ac:dyDescent="0.25">
      <c r="D202">
        <v>95</v>
      </c>
      <c r="E202" s="94">
        <f t="shared" si="24"/>
        <v>0.54910256516486611</v>
      </c>
      <c r="F202">
        <f t="shared" si="25"/>
        <v>3.0313378288510138E-2</v>
      </c>
      <c r="G202" t="e">
        <f t="shared" si="21"/>
        <v>#N/A</v>
      </c>
      <c r="H202">
        <f t="shared" si="22"/>
        <v>0.99829147193606549</v>
      </c>
      <c r="I202" t="e">
        <f t="shared" si="23"/>
        <v>#N/A</v>
      </c>
      <c r="K202" s="44">
        <f ca="1">Beta!$D127</f>
        <v>4.5571100308310637E-2</v>
      </c>
    </row>
    <row r="203" spans="4:11" x14ac:dyDescent="0.25">
      <c r="D203">
        <v>96</v>
      </c>
      <c r="E203" s="94">
        <f t="shared" si="24"/>
        <v>0.55494275144617633</v>
      </c>
      <c r="F203">
        <f t="shared" si="25"/>
        <v>2.7669488947547023E-2</v>
      </c>
      <c r="G203" t="e">
        <f t="shared" si="21"/>
        <v>#N/A</v>
      </c>
      <c r="H203">
        <f t="shared" si="22"/>
        <v>0.99846068667251431</v>
      </c>
      <c r="I203" t="e">
        <f t="shared" si="23"/>
        <v>#N/A</v>
      </c>
      <c r="K203" s="44">
        <f ca="1">Beta!$D128</f>
        <v>0.14550866614991842</v>
      </c>
    </row>
    <row r="204" spans="4:11" x14ac:dyDescent="0.25">
      <c r="D204">
        <v>97</v>
      </c>
      <c r="E204" s="94">
        <f t="shared" si="24"/>
        <v>0.56078293772748655</v>
      </c>
      <c r="F204">
        <f t="shared" si="25"/>
        <v>2.52257685496735E-2</v>
      </c>
      <c r="G204" t="e">
        <f t="shared" si="21"/>
        <v>#N/A</v>
      </c>
      <c r="H204">
        <f t="shared" si="22"/>
        <v>0.99861505150550578</v>
      </c>
      <c r="I204" t="e">
        <f t="shared" si="23"/>
        <v>#N/A</v>
      </c>
      <c r="K204" s="44">
        <f ca="1">Beta!$D129</f>
        <v>0.19935809300570684</v>
      </c>
    </row>
    <row r="205" spans="4:11" x14ac:dyDescent="0.25">
      <c r="D205">
        <v>98</v>
      </c>
      <c r="E205" s="94">
        <f t="shared" si="24"/>
        <v>0.56662312400879677</v>
      </c>
      <c r="F205">
        <f t="shared" si="25"/>
        <v>2.2969425311948132E-2</v>
      </c>
      <c r="G205" t="e">
        <f t="shared" si="21"/>
        <v>#N/A</v>
      </c>
      <c r="H205">
        <f t="shared" si="22"/>
        <v>0.99875569777687434</v>
      </c>
      <c r="I205" t="e">
        <f t="shared" si="23"/>
        <v>#N/A</v>
      </c>
      <c r="K205" s="44">
        <f ca="1">Beta!$D130</f>
        <v>4.6061836276737452E-3</v>
      </c>
    </row>
    <row r="206" spans="4:11" x14ac:dyDescent="0.25">
      <c r="D206">
        <v>99</v>
      </c>
      <c r="E206" s="94">
        <f t="shared" si="24"/>
        <v>0.572463310290107</v>
      </c>
      <c r="F206">
        <f t="shared" si="25"/>
        <v>2.0888329958411216E-2</v>
      </c>
      <c r="G206" t="e">
        <f t="shared" si="21"/>
        <v>#N/A</v>
      </c>
      <c r="H206">
        <f t="shared" si="22"/>
        <v>0.99888368406950168</v>
      </c>
      <c r="I206" t="e">
        <f t="shared" si="23"/>
        <v>#N/A</v>
      </c>
      <c r="K206" s="44">
        <f ca="1">Beta!$D131</f>
        <v>2.2261758982069235E-2</v>
      </c>
    </row>
    <row r="207" spans="4:11" x14ac:dyDescent="0.25">
      <c r="D207">
        <v>100</v>
      </c>
      <c r="E207" s="94">
        <f t="shared" si="24"/>
        <v>0.57830349657141722</v>
      </c>
      <c r="F207">
        <f t="shared" si="25"/>
        <v>1.8970989645293486E-2</v>
      </c>
      <c r="G207" t="e">
        <f t="shared" si="21"/>
        <v>#N/A</v>
      </c>
      <c r="H207">
        <f t="shared" si="22"/>
        <v>0.999</v>
      </c>
      <c r="I207" t="e">
        <f t="shared" si="23"/>
        <v>#N/A</v>
      </c>
      <c r="K207" s="44">
        <f ca="1">Beta!$D132</f>
        <v>5.4587809511180807E-2</v>
      </c>
    </row>
    <row r="209" spans="1:16" s="6" customFormat="1" x14ac:dyDescent="0.25">
      <c r="A209" s="6" t="s">
        <v>89</v>
      </c>
      <c r="D209" s="6" t="s">
        <v>90</v>
      </c>
      <c r="E209" s="6" t="s">
        <v>91</v>
      </c>
      <c r="F209" s="6" t="s">
        <v>92</v>
      </c>
      <c r="G209" s="6" t="s">
        <v>93</v>
      </c>
      <c r="H209" s="6" t="s">
        <v>39</v>
      </c>
      <c r="K209" s="6">
        <f>Normal!D236</f>
        <v>0</v>
      </c>
    </row>
    <row r="210" spans="1:16" x14ac:dyDescent="0.25">
      <c r="A210" t="s">
        <v>94</v>
      </c>
      <c r="B210" s="42">
        <f>Lognormal!C5</f>
        <v>1.5</v>
      </c>
      <c r="D210">
        <v>1</v>
      </c>
      <c r="E210" s="25">
        <f>B214</f>
        <v>0.955886446226067</v>
      </c>
      <c r="F210">
        <f>NORMDIST(LN(E210),$B$210,$B$211,FALSE)</f>
        <v>6.7341801541279918E-3</v>
      </c>
      <c r="G210">
        <f>IF(OR($E210&gt;$B$213,$E210&lt;$B$212),NA(),$F210)</f>
        <v>6.7341801541279918E-3</v>
      </c>
      <c r="H210">
        <f>LOGNORMDIST(E210,$B$210,$B$211)</f>
        <v>9.999999999999998E-4</v>
      </c>
      <c r="I210">
        <f>IF(OR($E210&gt;$B$213,$E210&lt;$B$212),NA(),$H210)</f>
        <v>9.999999999999998E-4</v>
      </c>
      <c r="K210" s="51">
        <f ca="1">Lognormal!D44</f>
        <v>4.4419422324117885</v>
      </c>
      <c r="L210" t="s">
        <v>28</v>
      </c>
      <c r="M210" s="50">
        <f ca="1">MIN($K$210:$K$309)</f>
        <v>1.2511275981769607</v>
      </c>
    </row>
    <row r="211" spans="1:16" x14ac:dyDescent="0.25">
      <c r="A211" t="s">
        <v>95</v>
      </c>
      <c r="B211" s="42">
        <f>Lognormal!C6</f>
        <v>0.5</v>
      </c>
      <c r="D211">
        <v>2</v>
      </c>
      <c r="E211" s="25">
        <f>($B$215-$B$214)/99+E210</f>
        <v>1.1584782167139958</v>
      </c>
      <c r="F211">
        <f t="shared" ref="F211:F274" si="26">NORMDIST(LN(E211),$B$210,$B$211,FALSE)</f>
        <v>2.0518489442337074E-2</v>
      </c>
      <c r="G211">
        <f t="shared" ref="G211:G274" si="27">IF(OR($E211&gt;$B$213,$E211&lt;$B$212),NA(),$F211)</f>
        <v>2.0518489442337074E-2</v>
      </c>
      <c r="H211">
        <f t="shared" ref="H211:H274" si="28">LOGNORMDIST(E211,$B$210,$B$211)</f>
        <v>3.407152507890423E-3</v>
      </c>
      <c r="I211">
        <f t="shared" ref="I211:I274" si="29">IF(OR($E211&gt;$B$213,$E211&lt;$B$212),NA(),$H211)</f>
        <v>3.407152507890423E-3</v>
      </c>
      <c r="K211" s="51">
        <f ca="1">Lognormal!D45</f>
        <v>5.9447727591323556</v>
      </c>
      <c r="L211" t="s">
        <v>29</v>
      </c>
      <c r="M211" s="50">
        <f ca="1">MAX($K$210:$K$309)</f>
        <v>14.224762428764052</v>
      </c>
    </row>
    <row r="212" spans="1:16" x14ac:dyDescent="0.25">
      <c r="A212" t="s">
        <v>26</v>
      </c>
      <c r="B212">
        <f>Lognormal!D12</f>
        <v>0.1</v>
      </c>
      <c r="D212">
        <v>3</v>
      </c>
      <c r="E212" s="25">
        <f t="shared" ref="E212:E275" si="30">($B$215-$B$214)/99+E211</f>
        <v>1.3610699872019245</v>
      </c>
      <c r="F212">
        <f t="shared" si="26"/>
        <v>4.6596647759876715E-2</v>
      </c>
      <c r="G212">
        <f t="shared" si="27"/>
        <v>4.6596647759876715E-2</v>
      </c>
      <c r="H212">
        <f t="shared" si="28"/>
        <v>8.5754275042725543E-3</v>
      </c>
      <c r="I212">
        <f t="shared" si="29"/>
        <v>8.5754275042725543E-3</v>
      </c>
      <c r="K212" s="51">
        <f ca="1">Lognormal!D46</f>
        <v>5.0974728110644865</v>
      </c>
    </row>
    <row r="213" spans="1:16" x14ac:dyDescent="0.25">
      <c r="A213" t="s">
        <v>27</v>
      </c>
      <c r="B213">
        <f>Lognormal!D13</f>
        <v>5</v>
      </c>
      <c r="D213">
        <v>4</v>
      </c>
      <c r="E213" s="25">
        <f t="shared" si="30"/>
        <v>1.5636617576898533</v>
      </c>
      <c r="F213">
        <f t="shared" si="26"/>
        <v>8.687530060266703E-2</v>
      </c>
      <c r="G213">
        <f t="shared" si="27"/>
        <v>8.687530060266703E-2</v>
      </c>
      <c r="H213">
        <f t="shared" si="28"/>
        <v>1.7604812781845006E-2</v>
      </c>
      <c r="I213">
        <f t="shared" si="29"/>
        <v>1.7604812781845006E-2</v>
      </c>
      <c r="K213" s="51">
        <f ca="1">Lognormal!D47</f>
        <v>3.5483030124748409</v>
      </c>
      <c r="M213" t="s">
        <v>53</v>
      </c>
      <c r="N213" t="s">
        <v>54</v>
      </c>
    </row>
    <row r="214" spans="1:16" x14ac:dyDescent="0.25">
      <c r="A214" t="s">
        <v>28</v>
      </c>
      <c r="B214" s="50">
        <f>LOGINV(0.001,B210,B211)</f>
        <v>0.955886446226067</v>
      </c>
      <c r="D214">
        <v>5</v>
      </c>
      <c r="E214" s="25">
        <f t="shared" si="30"/>
        <v>1.766253528177782</v>
      </c>
      <c r="F214">
        <f t="shared" si="26"/>
        <v>0.14088204185560768</v>
      </c>
      <c r="G214">
        <f t="shared" si="27"/>
        <v>0.14088204185560768</v>
      </c>
      <c r="H214">
        <f t="shared" si="28"/>
        <v>3.1281908470244257E-2</v>
      </c>
      <c r="I214">
        <f t="shared" si="29"/>
        <v>3.1281908470244257E-2</v>
      </c>
      <c r="K214" s="51">
        <f ca="1">Lognormal!D48</f>
        <v>8.6743807084252502</v>
      </c>
      <c r="L214">
        <v>1</v>
      </c>
      <c r="M214">
        <f ca="1">M210</f>
        <v>1.2511275981769607</v>
      </c>
      <c r="N214">
        <f ca="1">O214</f>
        <v>16</v>
      </c>
      <c r="O214">
        <f ca="1">COUNTIF($K$210:$K$309,"&lt;"&amp;M215)</f>
        <v>16</v>
      </c>
      <c r="P214" s="38">
        <f ca="1">M210</f>
        <v>1.2511275981769607</v>
      </c>
    </row>
    <row r="215" spans="1:16" x14ac:dyDescent="0.25">
      <c r="A215" t="s">
        <v>29</v>
      </c>
      <c r="B215" s="50">
        <f>LOGINV(0.999,B210,B211)</f>
        <v>21.012471724531014</v>
      </c>
      <c r="D215">
        <v>6</v>
      </c>
      <c r="E215" s="25">
        <f t="shared" si="30"/>
        <v>1.9688452986657108</v>
      </c>
      <c r="F215">
        <f t="shared" si="26"/>
        <v>0.2061858200324875</v>
      </c>
      <c r="G215">
        <f t="shared" si="27"/>
        <v>0.2061858200324875</v>
      </c>
      <c r="H215">
        <f t="shared" si="28"/>
        <v>4.9974023775289859E-2</v>
      </c>
      <c r="I215">
        <f t="shared" si="29"/>
        <v>4.9974023775289859E-2</v>
      </c>
      <c r="K215" s="51">
        <f ca="1">Lognormal!D49</f>
        <v>3.2604386263976237</v>
      </c>
      <c r="L215">
        <v>2</v>
      </c>
      <c r="M215" s="50">
        <f ca="1">M214+($M$211-$M$210)/9</f>
        <v>2.6926425793533042</v>
      </c>
      <c r="N215">
        <f ca="1">O215-O214</f>
        <v>34</v>
      </c>
      <c r="O215">
        <f t="shared" ref="O215:O222" ca="1" si="31">COUNTIF($K$210:$K$309,"&lt;"&amp;M216)</f>
        <v>50</v>
      </c>
    </row>
    <row r="216" spans="1:16" x14ac:dyDescent="0.25">
      <c r="A216" t="s">
        <v>96</v>
      </c>
      <c r="B216" s="50">
        <f>B217/B219</f>
        <v>1.9689492011306888</v>
      </c>
      <c r="C216" s="50">
        <f>LOGINV(0.05,B210,B211)</f>
        <v>1.9690933069524095</v>
      </c>
      <c r="D216">
        <v>7</v>
      </c>
      <c r="E216" s="25">
        <f t="shared" si="30"/>
        <v>2.1714370691536393</v>
      </c>
      <c r="F216">
        <f t="shared" si="26"/>
        <v>0.27917596468772438</v>
      </c>
      <c r="G216">
        <f t="shared" si="27"/>
        <v>0.27917596468772438</v>
      </c>
      <c r="H216">
        <f t="shared" si="28"/>
        <v>7.3637851450716663E-2</v>
      </c>
      <c r="I216">
        <f t="shared" si="29"/>
        <v>7.3637851450716663E-2</v>
      </c>
      <c r="K216" s="51">
        <f ca="1">Lognormal!D50</f>
        <v>2.0444774731032509</v>
      </c>
      <c r="L216">
        <v>3</v>
      </c>
      <c r="M216" s="50">
        <f t="shared" ref="M216:M223" ca="1" si="32">M215+($M$211-$M$210)/9</f>
        <v>4.1341575605296477</v>
      </c>
      <c r="N216">
        <f t="shared" ref="N216:N222" ca="1" si="33">O216-O215</f>
        <v>19</v>
      </c>
      <c r="O216">
        <f t="shared" ca="1" si="31"/>
        <v>69</v>
      </c>
    </row>
    <row r="217" spans="1:16" x14ac:dyDescent="0.25">
      <c r="A217" t="s">
        <v>97</v>
      </c>
      <c r="B217" s="50">
        <f>LOGINV(0.5,B210,B211)</f>
        <v>4.4816890703380645</v>
      </c>
      <c r="C217" s="50"/>
      <c r="D217">
        <v>8</v>
      </c>
      <c r="E217" s="25">
        <f t="shared" si="30"/>
        <v>2.3740288396415679</v>
      </c>
      <c r="F217">
        <f t="shared" si="26"/>
        <v>0.35583538987981606</v>
      </c>
      <c r="G217">
        <f t="shared" si="27"/>
        <v>0.35583538987981606</v>
      </c>
      <c r="H217">
        <f t="shared" si="28"/>
        <v>0.10189579236534711</v>
      </c>
      <c r="I217">
        <f t="shared" si="29"/>
        <v>0.10189579236534711</v>
      </c>
      <c r="K217" s="51">
        <f ca="1">Lognormal!D51</f>
        <v>6.2629768053158035</v>
      </c>
      <c r="L217">
        <v>4</v>
      </c>
      <c r="M217" s="50">
        <f t="shared" ca="1" si="32"/>
        <v>5.5756725417059911</v>
      </c>
      <c r="N217">
        <f t="shared" ca="1" si="33"/>
        <v>11</v>
      </c>
      <c r="O217">
        <f t="shared" ca="1" si="31"/>
        <v>80</v>
      </c>
    </row>
    <row r="218" spans="1:16" x14ac:dyDescent="0.25">
      <c r="A218" t="s">
        <v>98</v>
      </c>
      <c r="B218" s="50">
        <f>B217*B219</f>
        <v>10.201145317336447</v>
      </c>
      <c r="C218" s="50">
        <f>LOGINV(0.95,B210,B211)</f>
        <v>10.200398758286521</v>
      </c>
      <c r="D218">
        <v>9</v>
      </c>
      <c r="E218" s="25">
        <f t="shared" si="30"/>
        <v>2.5766206101294964</v>
      </c>
      <c r="F218">
        <f t="shared" si="26"/>
        <v>0.43233133165495552</v>
      </c>
      <c r="G218">
        <f t="shared" si="27"/>
        <v>0.43233133165495552</v>
      </c>
      <c r="H218">
        <f t="shared" si="28"/>
        <v>0.1341377549909937</v>
      </c>
      <c r="I218">
        <f t="shared" si="29"/>
        <v>0.1341377549909937</v>
      </c>
      <c r="K218" s="51">
        <f ca="1">Lognormal!D52</f>
        <v>4.1477015917242941</v>
      </c>
      <c r="L218">
        <v>5</v>
      </c>
      <c r="M218" s="50">
        <f t="shared" ca="1" si="32"/>
        <v>7.0171875228823346</v>
      </c>
      <c r="N218">
        <f t="shared" ca="1" si="33"/>
        <v>7</v>
      </c>
      <c r="O218">
        <f t="shared" ca="1" si="31"/>
        <v>87</v>
      </c>
      <c r="P218" s="38">
        <f ca="1">M217</f>
        <v>5.5756725417059911</v>
      </c>
    </row>
    <row r="219" spans="1:16" x14ac:dyDescent="0.25">
      <c r="A219" t="s">
        <v>99</v>
      </c>
      <c r="B219" s="42">
        <f>Lognormal!G6</f>
        <v>2.2761831883546866</v>
      </c>
      <c r="D219">
        <v>10</v>
      </c>
      <c r="E219" s="25">
        <f t="shared" si="30"/>
        <v>2.7792123806174249</v>
      </c>
      <c r="F219">
        <f t="shared" si="26"/>
        <v>0.50538285278996742</v>
      </c>
      <c r="G219">
        <f t="shared" si="27"/>
        <v>0.50538285278996742</v>
      </c>
      <c r="H219">
        <f t="shared" si="28"/>
        <v>0.16962079131119989</v>
      </c>
      <c r="I219">
        <f t="shared" si="29"/>
        <v>0.16962079131119989</v>
      </c>
      <c r="K219" s="51">
        <f ca="1">Lognormal!D53</f>
        <v>3.3950734999805556</v>
      </c>
      <c r="L219">
        <v>6</v>
      </c>
      <c r="M219" s="50">
        <f t="shared" ca="1" si="32"/>
        <v>8.4587025040586781</v>
      </c>
      <c r="N219">
        <f t="shared" ca="1" si="33"/>
        <v>7</v>
      </c>
      <c r="O219">
        <f t="shared" ca="1" si="31"/>
        <v>94</v>
      </c>
    </row>
    <row r="220" spans="1:16" x14ac:dyDescent="0.25">
      <c r="D220">
        <v>11</v>
      </c>
      <c r="E220" s="25">
        <f t="shared" si="30"/>
        <v>2.9818041511053535</v>
      </c>
      <c r="F220">
        <f t="shared" si="26"/>
        <v>0.57243428354803894</v>
      </c>
      <c r="G220">
        <f t="shared" si="27"/>
        <v>0.57243428354803894</v>
      </c>
      <c r="H220">
        <f t="shared" si="28"/>
        <v>0.20755249030945927</v>
      </c>
      <c r="I220">
        <f t="shared" si="29"/>
        <v>0.20755249030945927</v>
      </c>
      <c r="K220" s="51">
        <f ca="1">Lognormal!D54</f>
        <v>2.8529335188242531</v>
      </c>
      <c r="L220">
        <v>7</v>
      </c>
      <c r="M220" s="50">
        <f t="shared" ca="1" si="32"/>
        <v>9.9002174852350215</v>
      </c>
      <c r="N220">
        <f t="shared" ca="1" si="33"/>
        <v>4</v>
      </c>
      <c r="O220">
        <f t="shared" ca="1" si="31"/>
        <v>98</v>
      </c>
    </row>
    <row r="221" spans="1:16" x14ac:dyDescent="0.25">
      <c r="D221">
        <v>12</v>
      </c>
      <c r="E221" s="25">
        <f t="shared" si="30"/>
        <v>3.184395921593282</v>
      </c>
      <c r="F221">
        <f t="shared" si="26"/>
        <v>0.63168764251984988</v>
      </c>
      <c r="G221">
        <f t="shared" si="27"/>
        <v>0.63168764251984988</v>
      </c>
      <c r="H221">
        <f t="shared" si="28"/>
        <v>0.24715343902316417</v>
      </c>
      <c r="I221">
        <f t="shared" si="29"/>
        <v>0.24715343902316417</v>
      </c>
      <c r="K221" s="51">
        <f ca="1">Lognormal!D55</f>
        <v>3.6215139908572396</v>
      </c>
      <c r="L221">
        <v>8</v>
      </c>
      <c r="M221" s="50">
        <f t="shared" ca="1" si="32"/>
        <v>11.341732466411365</v>
      </c>
      <c r="N221">
        <f t="shared" ca="1" si="33"/>
        <v>0</v>
      </c>
      <c r="O221">
        <f t="shared" ca="1" si="31"/>
        <v>98</v>
      </c>
    </row>
    <row r="222" spans="1:16" x14ac:dyDescent="0.25">
      <c r="D222">
        <v>13</v>
      </c>
      <c r="E222" s="25">
        <f t="shared" si="30"/>
        <v>3.3869876920812105</v>
      </c>
      <c r="F222">
        <f t="shared" si="26"/>
        <v>0.68204645551530252</v>
      </c>
      <c r="G222">
        <f t="shared" si="27"/>
        <v>0.68204645551530252</v>
      </c>
      <c r="H222">
        <f t="shared" si="28"/>
        <v>0.28769943582472268</v>
      </c>
      <c r="I222">
        <f t="shared" si="29"/>
        <v>0.28769943582472268</v>
      </c>
      <c r="K222" s="51">
        <f ca="1">Lognormal!D56</f>
        <v>5.1548922122128928</v>
      </c>
      <c r="L222">
        <v>9</v>
      </c>
      <c r="M222" s="50">
        <f t="shared" ca="1" si="32"/>
        <v>12.783247447587708</v>
      </c>
      <c r="N222">
        <f t="shared" ca="1" si="33"/>
        <v>1</v>
      </c>
      <c r="O222">
        <f t="shared" ca="1" si="31"/>
        <v>99</v>
      </c>
      <c r="P222" s="38">
        <f ca="1">M211</f>
        <v>14.224762428764052</v>
      </c>
    </row>
    <row r="223" spans="1:16" x14ac:dyDescent="0.25">
      <c r="D223">
        <v>14</v>
      </c>
      <c r="E223" s="25">
        <f t="shared" si="30"/>
        <v>3.5895794625691391</v>
      </c>
      <c r="F223">
        <f t="shared" si="26"/>
        <v>0.72301289115661815</v>
      </c>
      <c r="G223">
        <f t="shared" si="27"/>
        <v>0.72301289115661815</v>
      </c>
      <c r="H223">
        <f t="shared" si="28"/>
        <v>0.32854663626717001</v>
      </c>
      <c r="I223">
        <f t="shared" si="29"/>
        <v>0.32854663626717001</v>
      </c>
      <c r="K223" s="51">
        <f ca="1">Lognormal!D57</f>
        <v>3.8731760439937628</v>
      </c>
      <c r="L223">
        <v>10</v>
      </c>
      <c r="M223" s="50">
        <f t="shared" ca="1" si="32"/>
        <v>14.224762428764052</v>
      </c>
    </row>
    <row r="224" spans="1:16" x14ac:dyDescent="0.25">
      <c r="D224">
        <v>15</v>
      </c>
      <c r="E224" s="25">
        <f t="shared" si="30"/>
        <v>3.7921712330570676</v>
      </c>
      <c r="F224">
        <f t="shared" si="26"/>
        <v>0.75456769586406369</v>
      </c>
      <c r="G224">
        <f t="shared" si="27"/>
        <v>0.75456769586406369</v>
      </c>
      <c r="H224">
        <f t="shared" si="28"/>
        <v>0.36914355339765048</v>
      </c>
      <c r="I224">
        <f t="shared" si="29"/>
        <v>0.36914355339765048</v>
      </c>
      <c r="K224" s="51">
        <f ca="1">Lognormal!D58</f>
        <v>3.8304599842920712</v>
      </c>
    </row>
    <row r="225" spans="4:15" x14ac:dyDescent="0.25">
      <c r="D225">
        <v>16</v>
      </c>
      <c r="E225" s="25">
        <f t="shared" si="30"/>
        <v>3.9947630035449961</v>
      </c>
      <c r="F225">
        <f t="shared" si="26"/>
        <v>0.77705154198549686</v>
      </c>
      <c r="G225">
        <f t="shared" si="27"/>
        <v>0.77705154198549686</v>
      </c>
      <c r="H225">
        <f t="shared" si="28"/>
        <v>0.40903364950828891</v>
      </c>
      <c r="I225">
        <f t="shared" si="29"/>
        <v>0.40903364950828891</v>
      </c>
      <c r="K225" s="51">
        <f ca="1">Lognormal!D59</f>
        <v>6.5464168387333785</v>
      </c>
      <c r="N225">
        <f ca="1">SUM(N214:N223)</f>
        <v>99</v>
      </c>
      <c r="O225">
        <f ca="1">SUM(O214:O223)</f>
        <v>691</v>
      </c>
    </row>
    <row r="226" spans="4:15" x14ac:dyDescent="0.25">
      <c r="D226">
        <v>17</v>
      </c>
      <c r="E226" s="25">
        <f t="shared" si="30"/>
        <v>4.1973547740329247</v>
      </c>
      <c r="F226">
        <f t="shared" si="26"/>
        <v>0.79105816939689655</v>
      </c>
      <c r="G226">
        <f t="shared" si="27"/>
        <v>0.79105816939689655</v>
      </c>
      <c r="H226">
        <f t="shared" si="28"/>
        <v>0.44785166917390196</v>
      </c>
      <c r="I226">
        <f t="shared" si="29"/>
        <v>0.44785166917390196</v>
      </c>
      <c r="K226" s="51">
        <f ca="1">Lognormal!D60</f>
        <v>3.0748813012012812</v>
      </c>
    </row>
    <row r="227" spans="4:15" x14ac:dyDescent="0.25">
      <c r="D227">
        <v>18</v>
      </c>
      <c r="E227" s="25">
        <f t="shared" si="30"/>
        <v>4.3999465445208532</v>
      </c>
      <c r="F227">
        <f t="shared" si="26"/>
        <v>0.79734403350798722</v>
      </c>
      <c r="G227">
        <f t="shared" si="27"/>
        <v>0.79734403350798722</v>
      </c>
      <c r="H227">
        <f t="shared" si="28"/>
        <v>0.48531617073245442</v>
      </c>
      <c r="I227">
        <f t="shared" si="29"/>
        <v>0.48531617073245442</v>
      </c>
      <c r="K227" s="51">
        <f ca="1">Lognormal!D61</f>
        <v>2.5575019168764643</v>
      </c>
    </row>
    <row r="228" spans="4:15" x14ac:dyDescent="0.25">
      <c r="D228">
        <v>19</v>
      </c>
      <c r="E228" s="25">
        <f t="shared" si="30"/>
        <v>4.6025383150087817</v>
      </c>
      <c r="F228">
        <f t="shared" si="26"/>
        <v>0.79675558211748498</v>
      </c>
      <c r="G228">
        <f t="shared" si="27"/>
        <v>0.79675558211748498</v>
      </c>
      <c r="H228">
        <f t="shared" si="28"/>
        <v>0.52122006350479433</v>
      </c>
      <c r="I228">
        <f t="shared" si="29"/>
        <v>0.52122006350479433</v>
      </c>
      <c r="K228" s="51">
        <f ca="1">Lognormal!D62</f>
        <v>2.1913017459326207</v>
      </c>
    </row>
    <row r="229" spans="4:15" x14ac:dyDescent="0.25">
      <c r="D229">
        <v>20</v>
      </c>
      <c r="E229" s="25">
        <f t="shared" si="30"/>
        <v>4.8051300854967103</v>
      </c>
      <c r="F229">
        <f t="shared" si="26"/>
        <v>0.79017320998229545</v>
      </c>
      <c r="G229">
        <f t="shared" si="27"/>
        <v>0.79017320998229545</v>
      </c>
      <c r="H229">
        <f t="shared" si="28"/>
        <v>0.55542041194635972</v>
      </c>
      <c r="I229">
        <f t="shared" si="29"/>
        <v>0.55542041194635972</v>
      </c>
      <c r="K229" s="51">
        <f ca="1">Lognormal!D63</f>
        <v>3.0773718259418033</v>
      </c>
    </row>
    <row r="230" spans="4:15" x14ac:dyDescent="0.25">
      <c r="D230">
        <v>21</v>
      </c>
      <c r="E230" s="25">
        <f t="shared" si="30"/>
        <v>5.0077218559846388</v>
      </c>
      <c r="F230">
        <f t="shared" si="26"/>
        <v>0.77846989548880541</v>
      </c>
      <c r="G230" t="e">
        <f t="shared" si="27"/>
        <v>#N/A</v>
      </c>
      <c r="H230">
        <f t="shared" si="28"/>
        <v>0.5878283393334881</v>
      </c>
      <c r="I230" t="e">
        <f t="shared" si="29"/>
        <v>#N/A</v>
      </c>
      <c r="K230" s="51">
        <f ca="1">Lognormal!D64</f>
        <v>3.8807523066345815</v>
      </c>
    </row>
    <row r="231" spans="4:15" x14ac:dyDescent="0.25">
      <c r="D231">
        <v>22</v>
      </c>
      <c r="E231" s="25">
        <f t="shared" si="30"/>
        <v>5.2103136264725673</v>
      </c>
      <c r="F231">
        <f t="shared" si="26"/>
        <v>0.76248213326466829</v>
      </c>
      <c r="G231" t="e">
        <f t="shared" si="27"/>
        <v>#N/A</v>
      </c>
      <c r="H231">
        <f t="shared" si="28"/>
        <v>0.61839954360775307</v>
      </c>
      <c r="I231" t="e">
        <f t="shared" si="29"/>
        <v>#N/A</v>
      </c>
      <c r="K231" s="51">
        <f ca="1">Lognormal!D65</f>
        <v>4.1132205653026634</v>
      </c>
    </row>
    <row r="232" spans="4:15" x14ac:dyDescent="0.25">
      <c r="D232">
        <v>23</v>
      </c>
      <c r="E232" s="25">
        <f t="shared" si="30"/>
        <v>5.4129053969604959</v>
      </c>
      <c r="F232">
        <f t="shared" si="26"/>
        <v>0.74299077280305637</v>
      </c>
      <c r="G232" t="e">
        <f t="shared" si="27"/>
        <v>#N/A</v>
      </c>
      <c r="H232">
        <f t="shared" si="28"/>
        <v>0.64712570889610044</v>
      </c>
      <c r="I232" t="e">
        <f t="shared" si="29"/>
        <v>#N/A</v>
      </c>
      <c r="K232" s="51">
        <f ca="1">Lognormal!D66</f>
        <v>3.9857667367052749</v>
      </c>
    </row>
    <row r="233" spans="4:15" x14ac:dyDescent="0.25">
      <c r="D233">
        <v>24</v>
      </c>
      <c r="E233" s="25">
        <f t="shared" si="30"/>
        <v>5.6154971674484244</v>
      </c>
      <c r="F233">
        <f t="shared" si="26"/>
        <v>0.72070957674969915</v>
      </c>
      <c r="G233" t="e">
        <f t="shared" si="27"/>
        <v>#N/A</v>
      </c>
      <c r="H233">
        <f t="shared" si="28"/>
        <v>0.67402693862356555</v>
      </c>
      <c r="I233" t="e">
        <f t="shared" si="29"/>
        <v>#N/A</v>
      </c>
      <c r="K233" s="51">
        <f ca="1">Lognormal!D67</f>
        <v>4.2007005991988056</v>
      </c>
    </row>
    <row r="234" spans="4:15" x14ac:dyDescent="0.25">
      <c r="D234">
        <v>25</v>
      </c>
      <c r="E234" s="25">
        <f t="shared" si="30"/>
        <v>5.818088937936353</v>
      </c>
      <c r="F234">
        <f t="shared" si="26"/>
        <v>0.69627960909024345</v>
      </c>
      <c r="G234" t="e">
        <f t="shared" si="27"/>
        <v>#N/A</v>
      </c>
      <c r="H234">
        <f t="shared" si="28"/>
        <v>0.69914523238639315</v>
      </c>
      <c r="I234" t="e">
        <f t="shared" si="29"/>
        <v>#N/A</v>
      </c>
      <c r="K234" s="51">
        <f ca="1">Lognormal!D68</f>
        <v>2.07482154561542</v>
      </c>
    </row>
    <row r="235" spans="4:15" x14ac:dyDescent="0.25">
      <c r="D235">
        <v>26</v>
      </c>
      <c r="E235" s="25">
        <f t="shared" si="30"/>
        <v>6.0206807084242815</v>
      </c>
      <c r="F235">
        <f t="shared" si="26"/>
        <v>0.67026788425573247</v>
      </c>
      <c r="G235" t="e">
        <f t="shared" si="27"/>
        <v>#N/A</v>
      </c>
      <c r="H235">
        <f t="shared" si="28"/>
        <v>0.72253896415933017</v>
      </c>
      <c r="I235" t="e">
        <f t="shared" si="29"/>
        <v>#N/A</v>
      </c>
      <c r="K235" s="51">
        <f ca="1">Lognormal!D69</f>
        <v>4.0888955923853212</v>
      </c>
    </row>
    <row r="236" spans="4:15" x14ac:dyDescent="0.25">
      <c r="D236">
        <v>27</v>
      </c>
      <c r="E236" s="25">
        <f t="shared" si="30"/>
        <v>6.22327247891221</v>
      </c>
      <c r="F236">
        <f t="shared" si="26"/>
        <v>0.64316901468524035</v>
      </c>
      <c r="G236" t="e">
        <f t="shared" si="27"/>
        <v>#N/A</v>
      </c>
      <c r="H236">
        <f t="shared" si="28"/>
        <v>0.74427828239948446</v>
      </c>
      <c r="I236" t="e">
        <f t="shared" si="29"/>
        <v>#N/A</v>
      </c>
      <c r="K236" s="51">
        <f ca="1">Lognormal!D70</f>
        <v>3.2315925324565584</v>
      </c>
    </row>
    <row r="237" spans="4:15" x14ac:dyDescent="0.25">
      <c r="D237">
        <v>28</v>
      </c>
      <c r="E237" s="25">
        <f t="shared" si="30"/>
        <v>6.4258642494001386</v>
      </c>
      <c r="F237">
        <f t="shared" si="26"/>
        <v>0.61540886759220381</v>
      </c>
      <c r="G237" t="e">
        <f t="shared" si="27"/>
        <v>#N/A</v>
      </c>
      <c r="H237">
        <f t="shared" si="28"/>
        <v>0.76444133441948403</v>
      </c>
      <c r="I237" t="e">
        <f t="shared" si="29"/>
        <v>#N/A</v>
      </c>
      <c r="K237" s="51">
        <f ca="1">Lognormal!D71</f>
        <v>3.4537274995387484</v>
      </c>
    </row>
    <row r="238" spans="4:15" x14ac:dyDescent="0.25">
      <c r="D238">
        <v>29</v>
      </c>
      <c r="E238" s="25">
        <f t="shared" si="30"/>
        <v>6.6284560198880671</v>
      </c>
      <c r="F238">
        <f t="shared" si="26"/>
        <v>0.58734947435116713</v>
      </c>
      <c r="G238" t="e">
        <f t="shared" si="27"/>
        <v>#N/A</v>
      </c>
      <c r="H238">
        <f t="shared" si="28"/>
        <v>0.78311121160242791</v>
      </c>
      <c r="I238" t="e">
        <f t="shared" si="29"/>
        <v>#N/A</v>
      </c>
      <c r="K238" s="51">
        <f ca="1">Lognormal!D72</f>
        <v>3.5097803258305578</v>
      </c>
    </row>
    <row r="239" spans="4:15" x14ac:dyDescent="0.25">
      <c r="D239">
        <v>30</v>
      </c>
      <c r="E239" s="25">
        <f t="shared" si="30"/>
        <v>6.8310477903759956</v>
      </c>
      <c r="F239">
        <f t="shared" si="26"/>
        <v>0.55929462763981563</v>
      </c>
      <c r="G239" t="e">
        <f t="shared" si="27"/>
        <v>#N/A</v>
      </c>
      <c r="H239">
        <f t="shared" si="28"/>
        <v>0.8003735140206345</v>
      </c>
      <c r="I239" t="e">
        <f t="shared" si="29"/>
        <v>#N/A</v>
      </c>
      <c r="K239" s="51">
        <f ca="1">Lognormal!D73</f>
        <v>4.2752801606116604</v>
      </c>
    </row>
    <row r="240" spans="4:15" x14ac:dyDescent="0.25">
      <c r="D240">
        <v>31</v>
      </c>
      <c r="E240" s="25">
        <f t="shared" si="30"/>
        <v>7.0336395608639242</v>
      </c>
      <c r="F240">
        <f t="shared" si="26"/>
        <v>0.53149575541538752</v>
      </c>
      <c r="G240" t="e">
        <f t="shared" si="27"/>
        <v>#N/A</v>
      </c>
      <c r="H240">
        <f t="shared" si="28"/>
        <v>0.81631443959144112</v>
      </c>
      <c r="I240" t="e">
        <f t="shared" si="29"/>
        <v>#N/A</v>
      </c>
      <c r="K240" s="51">
        <f ca="1">Lognormal!D74</f>
        <v>8.0562572841113074</v>
      </c>
    </row>
    <row r="241" spans="4:11" x14ac:dyDescent="0.25">
      <c r="D241">
        <v>32</v>
      </c>
      <c r="E241" s="25">
        <f t="shared" si="30"/>
        <v>7.2362313313518527</v>
      </c>
      <c r="F241">
        <f t="shared" si="26"/>
        <v>0.50415778176331449</v>
      </c>
      <c r="G241" t="e">
        <f t="shared" si="27"/>
        <v>#N/A</v>
      </c>
      <c r="H241">
        <f t="shared" si="28"/>
        <v>0.83101931187667399</v>
      </c>
      <c r="I241" t="e">
        <f t="shared" si="29"/>
        <v>#N/A</v>
      </c>
      <c r="K241" s="51">
        <f ca="1">Lognormal!D75</f>
        <v>8.7221581406993565</v>
      </c>
    </row>
    <row r="242" spans="4:11" x14ac:dyDescent="0.25">
      <c r="D242">
        <v>33</v>
      </c>
      <c r="E242" s="25">
        <f t="shared" si="30"/>
        <v>7.4388231018397812</v>
      </c>
      <c r="F242">
        <f t="shared" si="26"/>
        <v>0.47744477786194456</v>
      </c>
      <c r="G242" t="e">
        <f t="shared" si="27"/>
        <v>#N/A</v>
      </c>
      <c r="H242">
        <f t="shared" si="28"/>
        <v>0.84457147057089776</v>
      </c>
      <c r="I242" t="e">
        <f t="shared" si="29"/>
        <v>#N/A</v>
      </c>
      <c r="K242" s="51">
        <f ca="1">Lognormal!D76</f>
        <v>2.1288938724194422</v>
      </c>
    </row>
    <row r="243" spans="4:11" x14ac:dyDescent="0.25">
      <c r="D243">
        <v>34</v>
      </c>
      <c r="E243" s="25">
        <f t="shared" si="30"/>
        <v>7.6414148723277098</v>
      </c>
      <c r="F243">
        <f t="shared" si="26"/>
        <v>0.45148527679480788</v>
      </c>
      <c r="G243" t="e">
        <f t="shared" si="27"/>
        <v>#N/A</v>
      </c>
      <c r="H243">
        <f t="shared" si="28"/>
        <v>0.85705145871570387</v>
      </c>
      <c r="I243" t="e">
        <f t="shared" si="29"/>
        <v>#N/A</v>
      </c>
      <c r="K243" s="51">
        <f ca="1">Lognormal!D77</f>
        <v>5.4361086117686845</v>
      </c>
    </row>
    <row r="244" spans="4:11" x14ac:dyDescent="0.25">
      <c r="D244">
        <v>35</v>
      </c>
      <c r="E244" s="25">
        <f t="shared" si="30"/>
        <v>7.8440066428156383</v>
      </c>
      <c r="F244">
        <f t="shared" si="26"/>
        <v>0.42637717823034943</v>
      </c>
      <c r="G244" t="e">
        <f t="shared" si="27"/>
        <v>#N/A</v>
      </c>
      <c r="H244">
        <f t="shared" si="28"/>
        <v>0.86853645017578895</v>
      </c>
      <c r="I244" t="e">
        <f t="shared" si="29"/>
        <v>#N/A</v>
      </c>
      <c r="K244" s="51">
        <f ca="1">Lognormal!D78</f>
        <v>6.3588399330680501</v>
      </c>
    </row>
    <row r="245" spans="4:11" x14ac:dyDescent="0.25">
      <c r="D245">
        <v>36</v>
      </c>
      <c r="E245" s="25">
        <f t="shared" si="30"/>
        <v>8.0465984133035668</v>
      </c>
      <c r="F245">
        <f t="shared" si="26"/>
        <v>0.40219220696040375</v>
      </c>
      <c r="G245" t="e">
        <f t="shared" si="27"/>
        <v>#N/A</v>
      </c>
      <c r="H245">
        <f t="shared" si="28"/>
        <v>0.87909986961713638</v>
      </c>
      <c r="I245" t="e">
        <f t="shared" si="29"/>
        <v>#N/A</v>
      </c>
      <c r="K245" s="51">
        <f ca="1">Lognormal!D79</f>
        <v>4.6266117852738144</v>
      </c>
    </row>
    <row r="246" spans="4:11" x14ac:dyDescent="0.25">
      <c r="D246">
        <v>37</v>
      </c>
      <c r="E246" s="25">
        <f t="shared" si="30"/>
        <v>8.2491901837914963</v>
      </c>
      <c r="F246">
        <f t="shared" si="26"/>
        <v>0.37897991617651966</v>
      </c>
      <c r="G246" t="e">
        <f t="shared" si="27"/>
        <v>#N/A</v>
      </c>
      <c r="H246">
        <f t="shared" si="28"/>
        <v>0.88881116500115254</v>
      </c>
      <c r="I246" t="e">
        <f t="shared" si="29"/>
        <v>#N/A</v>
      </c>
      <c r="K246" s="51">
        <f ca="1">Lognormal!D80</f>
        <v>1.2511275981769607</v>
      </c>
    </row>
    <row r="247" spans="4:11" x14ac:dyDescent="0.25">
      <c r="D247">
        <v>38</v>
      </c>
      <c r="E247" s="25">
        <f t="shared" si="30"/>
        <v>8.4517819542794257</v>
      </c>
      <c r="F247">
        <f t="shared" si="26"/>
        <v>0.35677124479951838</v>
      </c>
      <c r="G247" t="e">
        <f t="shared" si="27"/>
        <v>#N/A</v>
      </c>
      <c r="H247">
        <f t="shared" si="28"/>
        <v>0.89773569941843057</v>
      </c>
      <c r="I247" t="e">
        <f t="shared" si="29"/>
        <v>#N/A</v>
      </c>
      <c r="K247" s="51">
        <f ca="1">Lognormal!D81</f>
        <v>10.703994759888234</v>
      </c>
    </row>
    <row r="248" spans="4:11" x14ac:dyDescent="0.25">
      <c r="D248">
        <v>39</v>
      </c>
      <c r="E248" s="25">
        <f t="shared" si="30"/>
        <v>8.6543737247673551</v>
      </c>
      <c r="F248">
        <f t="shared" si="26"/>
        <v>0.33558165026568548</v>
      </c>
      <c r="G248" t="e">
        <f t="shared" si="27"/>
        <v>#N/A</v>
      </c>
      <c r="H248">
        <f t="shared" si="28"/>
        <v>0.90593473496295895</v>
      </c>
      <c r="I248" t="e">
        <f t="shared" si="29"/>
        <v>#N/A</v>
      </c>
      <c r="K248" s="51">
        <f ca="1">Lognormal!D82</f>
        <v>2.5834525525905669</v>
      </c>
    </row>
    <row r="249" spans="4:11" x14ac:dyDescent="0.25">
      <c r="D249">
        <v>40</v>
      </c>
      <c r="E249" s="25">
        <f t="shared" si="30"/>
        <v>8.8569654952552845</v>
      </c>
      <c r="F249">
        <f t="shared" si="26"/>
        <v>0.31541384556801422</v>
      </c>
      <c r="G249" t="e">
        <f t="shared" si="27"/>
        <v>#N/A</v>
      </c>
      <c r="H249">
        <f t="shared" si="28"/>
        <v>0.91346548635926927</v>
      </c>
      <c r="I249" t="e">
        <f t="shared" si="29"/>
        <v>#N/A</v>
      </c>
      <c r="K249" s="51">
        <f ca="1">Lognormal!D83</f>
        <v>4.4041102781799379</v>
      </c>
    </row>
    <row r="250" spans="4:11" x14ac:dyDescent="0.25">
      <c r="D250">
        <v>41</v>
      </c>
      <c r="E250" s="25">
        <f t="shared" si="30"/>
        <v>9.059557265743214</v>
      </c>
      <c r="F250">
        <f t="shared" si="26"/>
        <v>0.29626017333803562</v>
      </c>
      <c r="G250" t="e">
        <f t="shared" si="27"/>
        <v>#N/A</v>
      </c>
      <c r="H250">
        <f t="shared" si="28"/>
        <v>0.92038122628640917</v>
      </c>
      <c r="I250" t="e">
        <f t="shared" si="29"/>
        <v>#N/A</v>
      </c>
      <c r="K250" s="51">
        <f ca="1">Lognormal!D84</f>
        <v>4.4071039599710318</v>
      </c>
    </row>
    <row r="251" spans="4:11" x14ac:dyDescent="0.25">
      <c r="D251">
        <v>42</v>
      </c>
      <c r="E251" s="25">
        <f t="shared" si="30"/>
        <v>9.2621490362311434</v>
      </c>
      <c r="F251">
        <f t="shared" si="26"/>
        <v>0.27810465131845774</v>
      </c>
      <c r="G251" t="e">
        <f t="shared" si="27"/>
        <v>#N/A</v>
      </c>
      <c r="H251">
        <f t="shared" si="28"/>
        <v>0.92673142788503404</v>
      </c>
      <c r="I251" t="e">
        <f t="shared" si="29"/>
        <v>#N/A</v>
      </c>
      <c r="K251" s="51">
        <f ca="1">Lognormal!D85</f>
        <v>2.076684793253126</v>
      </c>
    </row>
    <row r="252" spans="4:11" x14ac:dyDescent="0.25">
      <c r="D252">
        <v>43</v>
      </c>
      <c r="E252" s="25">
        <f t="shared" si="30"/>
        <v>9.4647408067190728</v>
      </c>
      <c r="F252">
        <f t="shared" si="26"/>
        <v>0.26092472346544698</v>
      </c>
      <c r="G252" t="e">
        <f t="shared" si="27"/>
        <v>#N/A</v>
      </c>
      <c r="H252">
        <f t="shared" si="28"/>
        <v>0.93256193287756661</v>
      </c>
      <c r="I252" t="e">
        <f t="shared" si="29"/>
        <v>#N/A</v>
      </c>
      <c r="K252" s="51">
        <f ca="1">Lognormal!D86</f>
        <v>4.7999166147184429</v>
      </c>
    </row>
    <row r="253" spans="4:11" x14ac:dyDescent="0.25">
      <c r="D253">
        <v>44</v>
      </c>
      <c r="E253" s="25">
        <f t="shared" si="30"/>
        <v>9.6673325772070022</v>
      </c>
      <c r="F253">
        <f t="shared" si="26"/>
        <v>0.24469274969039193</v>
      </c>
      <c r="G253" t="e">
        <f t="shared" si="27"/>
        <v>#N/A</v>
      </c>
      <c r="H253">
        <f t="shared" si="28"/>
        <v>0.93791513616111188</v>
      </c>
      <c r="I253" t="e">
        <f t="shared" si="29"/>
        <v>#N/A</v>
      </c>
      <c r="K253" s="51">
        <f ca="1">Lognormal!D87</f>
        <v>7.8128757715118997</v>
      </c>
    </row>
    <row r="254" spans="4:11" x14ac:dyDescent="0.25">
      <c r="D254">
        <v>45</v>
      </c>
      <c r="E254" s="25">
        <f t="shared" si="30"/>
        <v>9.8699243476949317</v>
      </c>
      <c r="F254">
        <f t="shared" si="26"/>
        <v>0.22937726531649202</v>
      </c>
      <c r="G254" t="e">
        <f t="shared" si="27"/>
        <v>#N/A</v>
      </c>
      <c r="H254">
        <f t="shared" si="28"/>
        <v>0.94283017972590022</v>
      </c>
      <c r="I254" t="e">
        <f t="shared" si="29"/>
        <v>#N/A</v>
      </c>
      <c r="K254" s="51">
        <f ca="1">Lognormal!D88</f>
        <v>3.0273508455715006</v>
      </c>
    </row>
    <row r="255" spans="4:11" x14ac:dyDescent="0.25">
      <c r="D255">
        <v>46</v>
      </c>
      <c r="E255" s="25">
        <f t="shared" si="30"/>
        <v>10.072516118182861</v>
      </c>
      <c r="F255">
        <f t="shared" si="26"/>
        <v>0.21494403898512152</v>
      </c>
      <c r="G255" t="e">
        <f t="shared" si="27"/>
        <v>#N/A</v>
      </c>
      <c r="H255">
        <f t="shared" si="28"/>
        <v>0.9473431503771842</v>
      </c>
      <c r="I255" t="e">
        <f t="shared" si="29"/>
        <v>#N/A</v>
      </c>
      <c r="K255" s="51">
        <f ca="1">Lognormal!D89</f>
        <v>6.8892110678847871</v>
      </c>
    </row>
    <row r="256" spans="4:11" x14ac:dyDescent="0.25">
      <c r="D256">
        <v>47</v>
      </c>
      <c r="E256" s="25">
        <f t="shared" si="30"/>
        <v>10.275107888670791</v>
      </c>
      <c r="F256">
        <f t="shared" si="26"/>
        <v>0.20135695521440866</v>
      </c>
      <c r="G256" t="e">
        <f t="shared" si="27"/>
        <v>#N/A</v>
      </c>
      <c r="H256">
        <f t="shared" si="28"/>
        <v>0.9514872770558811</v>
      </c>
      <c r="I256" t="e">
        <f t="shared" si="29"/>
        <v>#N/A</v>
      </c>
      <c r="K256" s="51">
        <f ca="1">Lognormal!D90</f>
        <v>7.0278389989112275</v>
      </c>
    </row>
    <row r="257" spans="4:11" x14ac:dyDescent="0.25">
      <c r="D257">
        <v>48</v>
      </c>
      <c r="E257" s="25">
        <f t="shared" si="30"/>
        <v>10.47769965915872</v>
      </c>
      <c r="F257">
        <f t="shared" si="26"/>
        <v>0.18857874523696805</v>
      </c>
      <c r="G257" t="e">
        <f t="shared" si="27"/>
        <v>#N/A</v>
      </c>
      <c r="H257">
        <f t="shared" si="28"/>
        <v>0.95529312461469973</v>
      </c>
      <c r="I257" t="e">
        <f t="shared" si="29"/>
        <v>#N/A</v>
      </c>
      <c r="K257" s="51">
        <f ca="1">Lognormal!D91</f>
        <v>2.3576331608605496</v>
      </c>
    </row>
    <row r="258" spans="4:11" x14ac:dyDescent="0.25">
      <c r="D258">
        <v>49</v>
      </c>
      <c r="E258" s="25">
        <f t="shared" si="30"/>
        <v>10.680291429646649</v>
      </c>
      <c r="F258">
        <f t="shared" si="26"/>
        <v>0.17657158722602839</v>
      </c>
      <c r="G258" t="e">
        <f t="shared" si="27"/>
        <v>#N/A</v>
      </c>
      <c r="H258">
        <f t="shared" si="28"/>
        <v>0.95878878175636628</v>
      </c>
      <c r="I258" t="e">
        <f t="shared" si="29"/>
        <v>#N/A</v>
      </c>
      <c r="K258" s="51">
        <f ca="1">Lognormal!D92</f>
        <v>10.653828381592401</v>
      </c>
    </row>
    <row r="259" spans="4:11" x14ac:dyDescent="0.25">
      <c r="D259">
        <v>50</v>
      </c>
      <c r="E259" s="25">
        <f t="shared" si="30"/>
        <v>10.882883200134579</v>
      </c>
      <c r="F259">
        <f t="shared" si="26"/>
        <v>0.16529759462449217</v>
      </c>
      <c r="G259" t="e">
        <f t="shared" si="27"/>
        <v>#N/A</v>
      </c>
      <c r="H259">
        <f t="shared" si="28"/>
        <v>0.9620000415163914</v>
      </c>
      <c r="I259" t="e">
        <f t="shared" si="29"/>
        <v>#N/A</v>
      </c>
      <c r="K259" s="51">
        <f ca="1">Lognormal!D93</f>
        <v>8.4752171721393346</v>
      </c>
    </row>
    <row r="260" spans="4:11" x14ac:dyDescent="0.25">
      <c r="D260">
        <v>51</v>
      </c>
      <c r="E260" s="25">
        <f t="shared" si="30"/>
        <v>11.085474970622508</v>
      </c>
      <c r="F260">
        <f t="shared" si="26"/>
        <v>0.15471920905899741</v>
      </c>
      <c r="G260" t="e">
        <f t="shared" si="27"/>
        <v>#N/A</v>
      </c>
      <c r="H260">
        <f t="shared" si="28"/>
        <v>0.96495057320616962</v>
      </c>
      <c r="I260" t="e">
        <f t="shared" si="29"/>
        <v>#N/A</v>
      </c>
      <c r="K260" s="51">
        <f ca="1">Lognormal!D94</f>
        <v>6.6546840898040909</v>
      </c>
    </row>
    <row r="261" spans="4:11" x14ac:dyDescent="0.25">
      <c r="D261">
        <v>52</v>
      </c>
      <c r="E261" s="25">
        <f t="shared" si="30"/>
        <v>11.288066741110438</v>
      </c>
      <c r="F261">
        <f t="shared" si="26"/>
        <v>0.14479951227148061</v>
      </c>
      <c r="G261" t="e">
        <f t="shared" si="27"/>
        <v>#N/A</v>
      </c>
      <c r="H261">
        <f t="shared" si="28"/>
        <v>0.96766208514945251</v>
      </c>
      <c r="I261" t="e">
        <f t="shared" si="29"/>
        <v>#N/A</v>
      </c>
      <c r="K261" s="51">
        <f ca="1">Lognormal!D95</f>
        <v>2.4562103723344082</v>
      </c>
    </row>
    <row r="262" spans="4:11" x14ac:dyDescent="0.25">
      <c r="D262">
        <v>53</v>
      </c>
      <c r="E262" s="25">
        <f t="shared" si="30"/>
        <v>11.490658511598367</v>
      </c>
      <c r="F262">
        <f t="shared" si="26"/>
        <v>0.1355024696416755</v>
      </c>
      <c r="G262" t="e">
        <f t="shared" si="27"/>
        <v>#N/A</v>
      </c>
      <c r="H262">
        <f t="shared" si="28"/>
        <v>0.97015447786831133</v>
      </c>
      <c r="I262" t="e">
        <f t="shared" si="29"/>
        <v>#N/A</v>
      </c>
      <c r="K262" s="51">
        <f ca="1">Lognormal!D96</f>
        <v>1.9381312136298876</v>
      </c>
    </row>
    <row r="263" spans="4:11" x14ac:dyDescent="0.25">
      <c r="D263">
        <v>54</v>
      </c>
      <c r="E263" s="25">
        <f t="shared" si="30"/>
        <v>11.693250282086296</v>
      </c>
      <c r="F263">
        <f t="shared" si="26"/>
        <v>0.12679311620409214</v>
      </c>
      <c r="G263" t="e">
        <f t="shared" si="27"/>
        <v>#N/A</v>
      </c>
      <c r="H263">
        <f t="shared" si="28"/>
        <v>0.97244598762175505</v>
      </c>
      <c r="I263" t="e">
        <f t="shared" si="29"/>
        <v>#N/A</v>
      </c>
      <c r="K263" s="51">
        <f ca="1">Lognormal!D97</f>
        <v>3.9689441163991934</v>
      </c>
    </row>
    <row r="264" spans="4:11" x14ac:dyDescent="0.25">
      <c r="D264">
        <v>55</v>
      </c>
      <c r="E264" s="25">
        <f t="shared" si="30"/>
        <v>11.895842052574226</v>
      </c>
      <c r="F264">
        <f t="shared" si="26"/>
        <v>0.11863769457511489</v>
      </c>
      <c r="G264" t="e">
        <f t="shared" si="27"/>
        <v>#N/A</v>
      </c>
      <c r="H264">
        <f t="shared" si="28"/>
        <v>0.97455332038614773</v>
      </c>
      <c r="I264" t="e">
        <f t="shared" si="29"/>
        <v>#N/A</v>
      </c>
      <c r="K264" s="51">
        <f ca="1">Lognormal!D98</f>
        <v>1.6338332540341682</v>
      </c>
    </row>
    <row r="265" spans="4:11" x14ac:dyDescent="0.25">
      <c r="D265">
        <v>56</v>
      </c>
      <c r="E265" s="25">
        <f t="shared" si="30"/>
        <v>12.098433823062155</v>
      </c>
      <c r="F265">
        <f t="shared" si="26"/>
        <v>0.11100375288903672</v>
      </c>
      <c r="G265" t="e">
        <f t="shared" si="27"/>
        <v>#N/A</v>
      </c>
      <c r="H265">
        <f t="shared" si="28"/>
        <v>0.97649177650374019</v>
      </c>
      <c r="I265" t="e">
        <f t="shared" si="29"/>
        <v>#N/A</v>
      </c>
      <c r="K265" s="51">
        <f ca="1">Lognormal!D99</f>
        <v>4.766926470811601</v>
      </c>
    </row>
    <row r="266" spans="4:11" x14ac:dyDescent="0.25">
      <c r="D266">
        <v>57</v>
      </c>
      <c r="E266" s="25">
        <f t="shared" si="30"/>
        <v>12.301025593550085</v>
      </c>
      <c r="F266">
        <f t="shared" si="26"/>
        <v>0.10386020968320922</v>
      </c>
      <c r="G266" t="e">
        <f t="shared" si="27"/>
        <v>#N/A</v>
      </c>
      <c r="H266">
        <f t="shared" si="28"/>
        <v>0.97827536632403111</v>
      </c>
      <c r="I266" t="e">
        <f t="shared" si="29"/>
        <v>#N/A</v>
      </c>
      <c r="K266" s="51">
        <f ca="1">Lognormal!D100</f>
        <v>5.0121139830880841</v>
      </c>
    </row>
    <row r="267" spans="4:11" x14ac:dyDescent="0.25">
      <c r="D267">
        <v>58</v>
      </c>
      <c r="E267" s="25">
        <f t="shared" si="30"/>
        <v>12.503617364038014</v>
      </c>
      <c r="F267">
        <f t="shared" si="26"/>
        <v>9.7177391658110956E-2</v>
      </c>
      <c r="G267" t="e">
        <f t="shared" si="27"/>
        <v>#N/A</v>
      </c>
      <c r="H267">
        <f t="shared" si="28"/>
        <v>0.97991691723047836</v>
      </c>
      <c r="I267" t="e">
        <f t="shared" si="29"/>
        <v>#N/A</v>
      </c>
      <c r="K267" s="51">
        <f ca="1">Lognormal!D101</f>
        <v>8.0708299400189158</v>
      </c>
    </row>
    <row r="268" spans="4:11" x14ac:dyDescent="0.25">
      <c r="D268">
        <v>59</v>
      </c>
      <c r="E268" s="25">
        <f t="shared" si="30"/>
        <v>12.706209134525944</v>
      </c>
      <c r="F268">
        <f t="shared" si="26"/>
        <v>9.092704935401795E-2</v>
      </c>
      <c r="G268" t="e">
        <f t="shared" si="27"/>
        <v>#N/A</v>
      </c>
      <c r="H268">
        <f t="shared" si="28"/>
        <v>0.98142817248891834</v>
      </c>
      <c r="I268" t="e">
        <f t="shared" si="29"/>
        <v>#N/A</v>
      </c>
      <c r="K268" s="51">
        <f ca="1">Lognormal!D102</f>
        <v>2.3737378238736677</v>
      </c>
    </row>
    <row r="269" spans="4:11" x14ac:dyDescent="0.25">
      <c r="D269">
        <v>60</v>
      </c>
      <c r="E269" s="25">
        <f t="shared" si="30"/>
        <v>12.908800905013873</v>
      </c>
      <c r="F269">
        <f t="shared" si="26"/>
        <v>8.5082355018408648E-2</v>
      </c>
      <c r="G269" t="e">
        <f t="shared" si="27"/>
        <v>#N/A</v>
      </c>
      <c r="H269">
        <f t="shared" si="28"/>
        <v>0.98281988237929119</v>
      </c>
      <c r="I269" t="e">
        <f t="shared" si="29"/>
        <v>#N/A</v>
      </c>
      <c r="K269" s="51">
        <f ca="1">Lognormal!D103</f>
        <v>2.571496254674138</v>
      </c>
    </row>
    <row r="270" spans="4:11" x14ac:dyDescent="0.25">
      <c r="D270">
        <v>61</v>
      </c>
      <c r="E270" s="25">
        <f t="shared" si="30"/>
        <v>13.111392675501802</v>
      </c>
      <c r="F270">
        <f t="shared" si="26"/>
        <v>7.9617886274275435E-2</v>
      </c>
      <c r="G270" t="e">
        <f t="shared" si="27"/>
        <v>#N/A</v>
      </c>
      <c r="H270">
        <f t="shared" si="28"/>
        <v>0.98410188808323029</v>
      </c>
      <c r="I270" t="e">
        <f t="shared" si="29"/>
        <v>#N/A</v>
      </c>
      <c r="K270" s="51">
        <f ca="1">Lognormal!D104</f>
        <v>5.2575414946365351</v>
      </c>
    </row>
    <row r="271" spans="4:11" x14ac:dyDescent="0.25">
      <c r="D271">
        <v>62</v>
      </c>
      <c r="E271" s="25">
        <f t="shared" si="30"/>
        <v>13.313984445989732</v>
      </c>
      <c r="F271">
        <f t="shared" si="26"/>
        <v>7.4509598627067547E-2</v>
      </c>
      <c r="G271" t="e">
        <f t="shared" si="27"/>
        <v>#N/A</v>
      </c>
      <c r="H271">
        <f t="shared" si="28"/>
        <v>0.98528319880022353</v>
      </c>
      <c r="I271" t="e">
        <f t="shared" si="29"/>
        <v>#N/A</v>
      </c>
      <c r="K271" s="51">
        <f ca="1">Lognormal!D105</f>
        <v>2.2974948756650031</v>
      </c>
    </row>
    <row r="272" spans="4:11" x14ac:dyDescent="0.25">
      <c r="D272">
        <v>63</v>
      </c>
      <c r="E272" s="25">
        <f t="shared" si="30"/>
        <v>13.516576216477661</v>
      </c>
      <c r="F272">
        <f t="shared" si="26"/>
        <v>6.9734789355966859E-2</v>
      </c>
      <c r="G272" t="e">
        <f t="shared" si="27"/>
        <v>#N/A</v>
      </c>
      <c r="H272">
        <f t="shared" si="28"/>
        <v>0.98637206255715559</v>
      </c>
      <c r="I272" t="e">
        <f t="shared" si="29"/>
        <v>#N/A</v>
      </c>
      <c r="K272" s="51">
        <f ca="1">Lognormal!D106</f>
        <v>10.106220477084582</v>
      </c>
    </row>
    <row r="273" spans="4:11" x14ac:dyDescent="0.25">
      <c r="D273">
        <v>64</v>
      </c>
      <c r="E273" s="25">
        <f t="shared" si="30"/>
        <v>13.719167986965591</v>
      </c>
      <c r="F273">
        <f t="shared" si="26"/>
        <v>6.527205491354468E-2</v>
      </c>
      <c r="G273" t="e">
        <f t="shared" si="27"/>
        <v>#N/A</v>
      </c>
      <c r="H273">
        <f t="shared" si="28"/>
        <v>0.987376031162297</v>
      </c>
      <c r="I273" t="e">
        <f t="shared" si="29"/>
        <v>#N/A</v>
      </c>
      <c r="K273" s="51">
        <f ca="1">Lognormal!D107</f>
        <v>9.8193098943370867</v>
      </c>
    </row>
    <row r="274" spans="4:11" x14ac:dyDescent="0.25">
      <c r="D274">
        <v>65</v>
      </c>
      <c r="E274" s="25">
        <f t="shared" si="30"/>
        <v>13.92175975745352</v>
      </c>
      <c r="F274">
        <f t="shared" si="26"/>
        <v>6.1101243597520283E-2</v>
      </c>
      <c r="G274" t="e">
        <f t="shared" si="27"/>
        <v>#N/A</v>
      </c>
      <c r="H274">
        <f t="shared" si="28"/>
        <v>0.98830201973695087</v>
      </c>
      <c r="I274" t="e">
        <f t="shared" si="29"/>
        <v>#N/A</v>
      </c>
      <c r="K274" s="51">
        <f ca="1">Lognormal!D108</f>
        <v>7.6127481595736084</v>
      </c>
    </row>
    <row r="275" spans="4:11" x14ac:dyDescent="0.25">
      <c r="D275">
        <v>66</v>
      </c>
      <c r="E275" s="25">
        <f t="shared" si="30"/>
        <v>14.12435152794145</v>
      </c>
      <c r="F275">
        <f t="shared" ref="F275:F309" si="34">NORMDIST(LN(E275),$B$210,$B$211,FALSE)</f>
        <v>5.720340495128675E-2</v>
      </c>
      <c r="G275" t="e">
        <f t="shared" ref="G275:G309" si="35">IF(OR($E275&gt;$B$213,$E275&lt;$B$212),NA(),$F275)</f>
        <v>#N/A</v>
      </c>
      <c r="H275">
        <f t="shared" ref="H275:H309" si="36">LOGNORMDIST(E275,$B$210,$B$211)</f>
        <v>0.98915636123736217</v>
      </c>
      <c r="I275" t="e">
        <f t="shared" ref="I275:I309" si="37">IF(OR($E275&gt;$B$213,$E275&lt;$B$212),NA(),$H275)</f>
        <v>#N/A</v>
      </c>
      <c r="K275" s="51">
        <f ca="1">Lognormal!D109</f>
        <v>7.5587110481439579</v>
      </c>
    </row>
    <row r="276" spans="4:11" x14ac:dyDescent="0.25">
      <c r="D276">
        <v>67</v>
      </c>
      <c r="E276" s="25">
        <f t="shared" ref="E276:E309" si="38">($B$215-$B$214)/99+E275</f>
        <v>14.326943298429379</v>
      </c>
      <c r="F276">
        <f t="shared" si="34"/>
        <v>5.3560737088929652E-2</v>
      </c>
      <c r="G276" t="e">
        <f t="shared" si="35"/>
        <v>#N/A</v>
      </c>
      <c r="H276">
        <f t="shared" si="36"/>
        <v>0.9899448563572012</v>
      </c>
      <c r="I276" t="e">
        <f t="shared" si="37"/>
        <v>#N/A</v>
      </c>
      <c r="K276" s="51">
        <f ca="1">Lognormal!D110</f>
        <v>3.9576948664128846</v>
      </c>
    </row>
    <row r="277" spans="4:11" x14ac:dyDescent="0.25">
      <c r="D277">
        <v>68</v>
      </c>
      <c r="E277" s="25">
        <f t="shared" si="38"/>
        <v>14.529535068917308</v>
      </c>
      <c r="F277">
        <f t="shared" si="34"/>
        <v>5.0156532919346915E-2</v>
      </c>
      <c r="G277" t="e">
        <f t="shared" si="35"/>
        <v>#N/A</v>
      </c>
      <c r="H277">
        <f t="shared" si="36"/>
        <v>0.99067281917776173</v>
      </c>
      <c r="I277" t="e">
        <f t="shared" si="37"/>
        <v>#N/A</v>
      </c>
      <c r="K277" s="51">
        <f ca="1">Lognormal!D111</f>
        <v>9.2944869796717349</v>
      </c>
    </row>
    <row r="278" spans="4:11" x14ac:dyDescent="0.25">
      <c r="D278">
        <v>69</v>
      </c>
      <c r="E278" s="25">
        <f t="shared" si="38"/>
        <v>14.732126839405238</v>
      </c>
      <c r="F278">
        <f t="shared" si="34"/>
        <v>4.6975126057240864E-2</v>
      </c>
      <c r="G278" t="e">
        <f t="shared" si="35"/>
        <v>#N/A</v>
      </c>
      <c r="H278">
        <f t="shared" si="36"/>
        <v>0.99134511890959653</v>
      </c>
      <c r="I278" t="e">
        <f t="shared" si="37"/>
        <v>#N/A</v>
      </c>
      <c r="K278" s="51">
        <f ca="1">Lognormal!D112</f>
        <v>2.9540256090695665</v>
      </c>
    </row>
    <row r="279" spans="4:11" x14ac:dyDescent="0.25">
      <c r="D279">
        <v>70</v>
      </c>
      <c r="E279" s="25">
        <f t="shared" si="38"/>
        <v>14.934718609893167</v>
      </c>
      <c r="F279">
        <f t="shared" si="34"/>
        <v>4.4001837051377141E-2</v>
      </c>
      <c r="G279" t="e">
        <f t="shared" si="35"/>
        <v>#N/A</v>
      </c>
      <c r="H279">
        <f t="shared" si="36"/>
        <v>0.9919662180461013</v>
      </c>
      <c r="I279" t="e">
        <f t="shared" si="37"/>
        <v>#N/A</v>
      </c>
      <c r="K279" s="51">
        <f ca="1">Lognormal!D113</f>
        <v>2.9534452744336486</v>
      </c>
    </row>
    <row r="280" spans="4:11" x14ac:dyDescent="0.25">
      <c r="D280">
        <v>71</v>
      </c>
      <c r="E280" s="25">
        <f t="shared" si="38"/>
        <v>15.137310380381097</v>
      </c>
      <c r="F280">
        <f t="shared" si="34"/>
        <v>4.1222920428358123E-2</v>
      </c>
      <c r="G280" t="e">
        <f t="shared" si="35"/>
        <v>#N/A</v>
      </c>
      <c r="H280">
        <f t="shared" si="36"/>
        <v>0.99254020722690584</v>
      </c>
      <c r="I280" t="e">
        <f t="shared" si="37"/>
        <v>#N/A</v>
      </c>
      <c r="K280" s="51">
        <f ca="1">Lognormal!D114</f>
        <v>14.121544891519692</v>
      </c>
    </row>
    <row r="281" spans="4:11" x14ac:dyDescent="0.25">
      <c r="D281">
        <v>72</v>
      </c>
      <c r="E281" s="25">
        <f t="shared" si="38"/>
        <v>15.339902150869026</v>
      </c>
      <c r="F281">
        <f t="shared" si="34"/>
        <v>3.8625512939597054E-2</v>
      </c>
      <c r="G281" t="e">
        <f t="shared" si="35"/>
        <v>#N/A</v>
      </c>
      <c r="H281">
        <f t="shared" si="36"/>
        <v>0.99307083708708077</v>
      </c>
      <c r="I281" t="e">
        <f t="shared" si="37"/>
        <v>#N/A</v>
      </c>
      <c r="K281" s="51">
        <f ca="1">Lognormal!D115</f>
        <v>5.9809062321421127</v>
      </c>
    </row>
    <row r="282" spans="4:11" x14ac:dyDescent="0.25">
      <c r="D282">
        <v>73</v>
      </c>
      <c r="E282" s="25">
        <f t="shared" si="38"/>
        <v>15.542493921356956</v>
      </c>
      <c r="F282">
        <f t="shared" si="34"/>
        <v>3.6197583307024141E-2</v>
      </c>
      <c r="G282" t="e">
        <f t="shared" si="35"/>
        <v>#N/A</v>
      </c>
      <c r="H282">
        <f t="shared" si="36"/>
        <v>0.99356154734727686</v>
      </c>
      <c r="I282" t="e">
        <f t="shared" si="37"/>
        <v>#N/A</v>
      </c>
      <c r="K282" s="51">
        <f ca="1">Lognormal!D116</f>
        <v>5.5003535872482674</v>
      </c>
    </row>
    <row r="283" spans="4:11" x14ac:dyDescent="0.25">
      <c r="D283">
        <v>74</v>
      </c>
      <c r="E283" s="25">
        <f t="shared" si="38"/>
        <v>15.745085691844885</v>
      </c>
      <c r="F283">
        <f t="shared" si="34"/>
        <v>3.3927883686573533E-2</v>
      </c>
      <c r="G283" t="e">
        <f t="shared" si="35"/>
        <v>#N/A</v>
      </c>
      <c r="H283">
        <f t="shared" si="36"/>
        <v>0.99401549338010475</v>
      </c>
      <c r="I283" t="e">
        <f t="shared" si="37"/>
        <v>#N/A</v>
      </c>
      <c r="K283" s="51">
        <f ca="1">Lognormal!D117</f>
        <v>4.8195512084547421</v>
      </c>
    </row>
    <row r="284" spans="4:11" x14ac:dyDescent="0.25">
      <c r="D284">
        <v>75</v>
      </c>
      <c r="E284" s="25">
        <f t="shared" si="38"/>
        <v>15.947677462332814</v>
      </c>
      <c r="F284">
        <f t="shared" si="34"/>
        <v>3.1805903005328109E-2</v>
      </c>
      <c r="G284" t="e">
        <f t="shared" si="35"/>
        <v>#N/A</v>
      </c>
      <c r="H284">
        <f t="shared" si="36"/>
        <v>0.99443557046938913</v>
      </c>
      <c r="I284" t="e">
        <f t="shared" si="37"/>
        <v>#N/A</v>
      </c>
      <c r="K284" s="51">
        <f ca="1">Lognormal!D118</f>
        <v>3.0027199504901163</v>
      </c>
    </row>
    <row r="285" spans="4:11" x14ac:dyDescent="0.25">
      <c r="D285">
        <v>76</v>
      </c>
      <c r="E285" s="25">
        <f t="shared" si="38"/>
        <v>16.150269232820744</v>
      </c>
      <c r="F285">
        <f t="shared" si="34"/>
        <v>2.982182227630796E-2</v>
      </c>
      <c r="G285" t="e">
        <f t="shared" si="35"/>
        <v>#N/A</v>
      </c>
      <c r="H285">
        <f t="shared" si="36"/>
        <v>0.99482443596141057</v>
      </c>
      <c r="I285" t="e">
        <f t="shared" si="37"/>
        <v>#N/A</v>
      </c>
      <c r="K285" s="51">
        <f ca="1">Lognormal!D119</f>
        <v>6.2543443624925139</v>
      </c>
    </row>
    <row r="286" spans="4:11" x14ac:dyDescent="0.25">
      <c r="D286">
        <v>77</v>
      </c>
      <c r="E286" s="25">
        <f t="shared" si="38"/>
        <v>16.352861003308671</v>
      </c>
      <c r="F286">
        <f t="shared" si="34"/>
        <v>2.7966471952530943E-2</v>
      </c>
      <c r="G286" t="e">
        <f t="shared" si="35"/>
        <v>#N/A</v>
      </c>
      <c r="H286">
        <f t="shared" si="36"/>
        <v>0.99518452949090264</v>
      </c>
      <c r="I286" t="e">
        <f t="shared" si="37"/>
        <v>#N/A</v>
      </c>
      <c r="K286" s="51">
        <f ca="1">Lognormal!D120</f>
        <v>6.0982912301313021</v>
      </c>
    </row>
    <row r="287" spans="4:11" x14ac:dyDescent="0.25">
      <c r="D287">
        <v>78</v>
      </c>
      <c r="E287" s="25">
        <f t="shared" si="38"/>
        <v>16.555452773796599</v>
      </c>
      <c r="F287">
        <f t="shared" si="34"/>
        <v>2.623129134766428E-2</v>
      </c>
      <c r="G287" t="e">
        <f t="shared" si="35"/>
        <v>#N/A</v>
      </c>
      <c r="H287">
        <f t="shared" si="36"/>
        <v>0.99551809144935266</v>
      </c>
      <c r="I287" t="e">
        <f t="shared" si="37"/>
        <v>#N/A</v>
      </c>
      <c r="K287" s="51">
        <f ca="1">Lognormal!D121</f>
        <v>3.6951803567159964</v>
      </c>
    </row>
    <row r="288" spans="4:11" x14ac:dyDescent="0.25">
      <c r="D288">
        <v>79</v>
      </c>
      <c r="E288" s="25">
        <f t="shared" si="38"/>
        <v>16.758044544284527</v>
      </c>
      <c r="F288">
        <f t="shared" si="34"/>
        <v>2.4608290123034407E-2</v>
      </c>
      <c r="G288" t="e">
        <f t="shared" si="35"/>
        <v>#N/A</v>
      </c>
      <c r="H288">
        <f t="shared" si="36"/>
        <v>0.99582717984905056</v>
      </c>
      <c r="I288" t="e">
        <f t="shared" si="37"/>
        <v>#N/A</v>
      </c>
      <c r="K288" s="51">
        <f ca="1">Lognormal!D122</f>
        <v>6.1060919478950675</v>
      </c>
    </row>
    <row r="289" spans="4:11" x14ac:dyDescent="0.25">
      <c r="D289">
        <v>80</v>
      </c>
      <c r="E289" s="25">
        <f t="shared" si="38"/>
        <v>16.960636314772454</v>
      </c>
      <c r="F289">
        <f t="shared" si="34"/>
        <v>2.3090011818891896E-2</v>
      </c>
      <c r="G289" t="e">
        <f t="shared" si="35"/>
        <v>#N/A</v>
      </c>
      <c r="H289">
        <f t="shared" si="36"/>
        <v>0.99611368572328018</v>
      </c>
      <c r="I289" t="e">
        <f t="shared" si="37"/>
        <v>#N/A</v>
      </c>
      <c r="K289" s="51">
        <f ca="1">Lognormal!D123</f>
        <v>2.7165728947163061</v>
      </c>
    </row>
    <row r="290" spans="4:11" x14ac:dyDescent="0.25">
      <c r="D290">
        <v>81</v>
      </c>
      <c r="E290" s="25">
        <f t="shared" si="38"/>
        <v>17.163228085260382</v>
      </c>
      <c r="F290">
        <f t="shared" si="34"/>
        <v>2.1669499390694989E-2</v>
      </c>
      <c r="G290" t="e">
        <f t="shared" si="35"/>
        <v>#N/A</v>
      </c>
      <c r="H290">
        <f t="shared" si="36"/>
        <v>0.9963793471910114</v>
      </c>
      <c r="I290" t="e">
        <f t="shared" si="37"/>
        <v>#N/A</v>
      </c>
      <c r="K290" s="51">
        <f ca="1">Lognormal!D124</f>
        <v>2.7078627109610443</v>
      </c>
    </row>
    <row r="291" spans="4:11" x14ac:dyDescent="0.25">
      <c r="D291">
        <v>82</v>
      </c>
      <c r="E291" s="25">
        <f t="shared" si="38"/>
        <v>17.36581985574831</v>
      </c>
      <c r="F291">
        <f t="shared" si="34"/>
        <v>2.0340262697999593E-2</v>
      </c>
      <c r="G291" t="e">
        <f t="shared" si="35"/>
        <v>#N/A</v>
      </c>
      <c r="H291">
        <f t="shared" si="36"/>
        <v>0.99662576230336242</v>
      </c>
      <c r="I291" t="e">
        <f t="shared" si="37"/>
        <v>#N/A</v>
      </c>
      <c r="K291" s="51">
        <f ca="1">Lognormal!D125</f>
        <v>7.6152675629262241</v>
      </c>
    </row>
    <row r="292" spans="4:11" x14ac:dyDescent="0.25">
      <c r="D292">
        <v>83</v>
      </c>
      <c r="E292" s="25">
        <f t="shared" si="38"/>
        <v>17.568411626236237</v>
      </c>
      <c r="F292">
        <f t="shared" si="34"/>
        <v>1.9096247883646538E-2</v>
      </c>
      <c r="G292" t="e">
        <f t="shared" si="35"/>
        <v>#N/A</v>
      </c>
      <c r="H292">
        <f t="shared" si="36"/>
        <v>0.99685440077891463</v>
      </c>
      <c r="I292" t="e">
        <f t="shared" si="37"/>
        <v>#N/A</v>
      </c>
      <c r="K292" s="51">
        <f ca="1">Lognormal!D126</f>
        <v>3.8592479440655056</v>
      </c>
    </row>
    <row r="293" spans="4:11" x14ac:dyDescent="0.25">
      <c r="D293">
        <v>84</v>
      </c>
      <c r="E293" s="25">
        <f t="shared" si="38"/>
        <v>17.771003396724165</v>
      </c>
      <c r="F293">
        <f t="shared" si="34"/>
        <v>1.7931808573751339E-2</v>
      </c>
      <c r="G293" t="e">
        <f t="shared" si="35"/>
        <v>#N/A</v>
      </c>
      <c r="H293">
        <f t="shared" si="36"/>
        <v>0.9970666147256082</v>
      </c>
      <c r="I293" t="e">
        <f t="shared" si="37"/>
        <v>#N/A</v>
      </c>
      <c r="K293" s="51">
        <f ca="1">Lognormal!D127</f>
        <v>5.6683485380992309</v>
      </c>
    </row>
    <row r="294" spans="4:11" x14ac:dyDescent="0.25">
      <c r="D294">
        <v>85</v>
      </c>
      <c r="E294" s="25">
        <f t="shared" si="38"/>
        <v>17.973595167212093</v>
      </c>
      <c r="F294">
        <f t="shared" si="34"/>
        <v>1.6841678824044973E-2</v>
      </c>
      <c r="G294" t="e">
        <f t="shared" si="35"/>
        <v>#N/A</v>
      </c>
      <c r="H294">
        <f t="shared" si="36"/>
        <v>0.99726364843837212</v>
      </c>
      <c r="I294" t="e">
        <f t="shared" si="37"/>
        <v>#N/A</v>
      </c>
      <c r="K294" s="51">
        <f ca="1">Lognormal!D128</f>
        <v>5.562407626434072</v>
      </c>
    </row>
    <row r="295" spans="4:11" x14ac:dyDescent="0.25">
      <c r="D295">
        <v>86</v>
      </c>
      <c r="E295" s="25">
        <f t="shared" si="38"/>
        <v>18.17618693770002</v>
      </c>
      <c r="F295">
        <f t="shared" si="34"/>
        <v>1.5820947734981869E-2</v>
      </c>
      <c r="G295" t="e">
        <f t="shared" si="35"/>
        <v>#N/A</v>
      </c>
      <c r="H295">
        <f t="shared" si="36"/>
        <v>0.99744664735379618</v>
      </c>
      <c r="I295" t="e">
        <f t="shared" si="37"/>
        <v>#N/A</v>
      </c>
      <c r="K295" s="51">
        <f ca="1">Lognormal!D129</f>
        <v>10.03330323903683</v>
      </c>
    </row>
    <row r="296" spans="4:11" x14ac:dyDescent="0.25">
      <c r="D296">
        <v>87</v>
      </c>
      <c r="E296" s="25">
        <f t="shared" si="38"/>
        <v>18.378778708187948</v>
      </c>
      <c r="F296">
        <f t="shared" si="34"/>
        <v>1.4865035656375021E-2</v>
      </c>
      <c r="G296" t="e">
        <f t="shared" si="35"/>
        <v>#N/A</v>
      </c>
      <c r="H296">
        <f t="shared" si="36"/>
        <v>0.99761666623597034</v>
      </c>
      <c r="I296" t="e">
        <f t="shared" si="37"/>
        <v>#N/A</v>
      </c>
      <c r="K296" s="51">
        <f ca="1">Lognormal!D130</f>
        <v>2.7251236662261706</v>
      </c>
    </row>
    <row r="297" spans="4:11" x14ac:dyDescent="0.25">
      <c r="D297">
        <v>88</v>
      </c>
      <c r="E297" s="25">
        <f t="shared" si="38"/>
        <v>18.581370478675876</v>
      </c>
      <c r="F297">
        <f t="shared" si="34"/>
        <v>1.3969671901857557E-2</v>
      </c>
      <c r="G297" t="e">
        <f t="shared" si="35"/>
        <v>#N/A</v>
      </c>
      <c r="H297">
        <f t="shared" si="36"/>
        <v>0.99777467666105701</v>
      </c>
      <c r="I297" t="e">
        <f t="shared" si="37"/>
        <v>#N/A</v>
      </c>
      <c r="K297" s="51">
        <f ca="1">Lognormal!D131</f>
        <v>3.4272374998396113</v>
      </c>
    </row>
    <row r="298" spans="4:11" x14ac:dyDescent="0.25">
      <c r="D298">
        <v>89</v>
      </c>
      <c r="E298" s="25">
        <f t="shared" si="38"/>
        <v>18.783962249163803</v>
      </c>
      <c r="F298">
        <f t="shared" si="34"/>
        <v>1.3130873893955149E-2</v>
      </c>
      <c r="G298" t="e">
        <f t="shared" si="35"/>
        <v>#N/A</v>
      </c>
      <c r="H298">
        <f t="shared" si="36"/>
        <v>0.99792157386216951</v>
      </c>
      <c r="I298" t="e">
        <f t="shared" si="37"/>
        <v>#N/A</v>
      </c>
      <c r="K298" s="51">
        <f ca="1">Lognormal!D132</f>
        <v>5.1343132430101015</v>
      </c>
    </row>
    <row r="299" spans="4:11" x14ac:dyDescent="0.25">
      <c r="D299">
        <v>90</v>
      </c>
      <c r="E299" s="25">
        <f t="shared" si="38"/>
        <v>18.986554019651731</v>
      </c>
      <c r="F299">
        <f t="shared" si="34"/>
        <v>1.2344927661789934E-2</v>
      </c>
      <c r="G299" t="e">
        <f t="shared" si="35"/>
        <v>#N/A</v>
      </c>
      <c r="H299">
        <f t="shared" si="36"/>
        <v>0.99805818299066396</v>
      </c>
      <c r="I299" t="e">
        <f t="shared" si="37"/>
        <v>#N/A</v>
      </c>
      <c r="K299" s="51">
        <f ca="1">Lognormal!D133</f>
        <v>3.1176004578383134</v>
      </c>
    </row>
    <row r="300" spans="4:11" x14ac:dyDescent="0.25">
      <c r="D300">
        <v>91</v>
      </c>
      <c r="E300" s="25">
        <f t="shared" si="38"/>
        <v>19.189145790139658</v>
      </c>
      <c r="F300">
        <f t="shared" si="34"/>
        <v>1.1608369615250302E-2</v>
      </c>
      <c r="G300" t="e">
        <f t="shared" si="35"/>
        <v>#N/A</v>
      </c>
      <c r="H300">
        <f t="shared" si="36"/>
        <v>0.99818526484496095</v>
      </c>
      <c r="I300" t="e">
        <f t="shared" si="37"/>
        <v>#N/A</v>
      </c>
      <c r="K300" s="51">
        <f ca="1">Lognormal!D134</f>
        <v>9.6771616661714592</v>
      </c>
    </row>
    <row r="301" spans="4:11" x14ac:dyDescent="0.25">
      <c r="D301">
        <v>92</v>
      </c>
      <c r="E301" s="25">
        <f t="shared" si="38"/>
        <v>19.391737560627586</v>
      </c>
      <c r="F301">
        <f t="shared" si="34"/>
        <v>1.0917969521715819E-2</v>
      </c>
      <c r="G301" t="e">
        <f t="shared" si="35"/>
        <v>#N/A</v>
      </c>
      <c r="H301">
        <f t="shared" si="36"/>
        <v>0.99830352111347065</v>
      </c>
      <c r="I301" t="e">
        <f t="shared" si="37"/>
        <v>#N/A</v>
      </c>
      <c r="K301" s="51">
        <f ca="1">Lognormal!D135</f>
        <v>8.7213841245293473</v>
      </c>
    </row>
    <row r="302" spans="4:11" x14ac:dyDescent="0.25">
      <c r="D302">
        <v>93</v>
      </c>
      <c r="E302" s="25">
        <f t="shared" si="38"/>
        <v>19.594329331115514</v>
      </c>
      <c r="F302">
        <f t="shared" si="34"/>
        <v>1.0270714614005541E-2</v>
      </c>
      <c r="G302" t="e">
        <f t="shared" si="35"/>
        <v>#N/A</v>
      </c>
      <c r="H302">
        <f t="shared" si="36"/>
        <v>0.99841359917404837</v>
      </c>
      <c r="I302" t="e">
        <f t="shared" si="37"/>
        <v>#N/A</v>
      </c>
      <c r="K302" s="51">
        <f ca="1">Lognormal!D136</f>
        <v>2.7710733223172208</v>
      </c>
    </row>
    <row r="303" spans="4:11" x14ac:dyDescent="0.25">
      <c r="D303">
        <v>94</v>
      </c>
      <c r="E303" s="25">
        <f t="shared" si="38"/>
        <v>19.796921101603441</v>
      </c>
      <c r="F303">
        <f t="shared" si="34"/>
        <v>9.6637947610244725E-3</v>
      </c>
      <c r="G303" t="e">
        <f t="shared" si="35"/>
        <v>#N/A</v>
      </c>
      <c r="H303">
        <f t="shared" si="36"/>
        <v>0.9985160964886356</v>
      </c>
      <c r="I303" t="e">
        <f t="shared" si="37"/>
        <v>#N/A</v>
      </c>
      <c r="K303" s="51">
        <f ca="1">Lognormal!D137</f>
        <v>3.3207780632350175</v>
      </c>
    </row>
    <row r="304" spans="4:11" x14ac:dyDescent="0.25">
      <c r="D304">
        <v>95</v>
      </c>
      <c r="E304" s="25">
        <f t="shared" si="38"/>
        <v>19.999512872091369</v>
      </c>
      <c r="F304">
        <f t="shared" si="34"/>
        <v>9.0945886355443869E-3</v>
      </c>
      <c r="G304" t="e">
        <f t="shared" si="35"/>
        <v>#N/A</v>
      </c>
      <c r="H304">
        <f t="shared" si="36"/>
        <v>0.99861156462829981</v>
      </c>
      <c r="I304" t="e">
        <f t="shared" si="37"/>
        <v>#N/A</v>
      </c>
      <c r="K304" s="51">
        <f ca="1">Lognormal!D138</f>
        <v>3.3136503996091204</v>
      </c>
    </row>
    <row r="305" spans="1:16" x14ac:dyDescent="0.25">
      <c r="D305">
        <v>96</v>
      </c>
      <c r="E305" s="25">
        <f t="shared" si="38"/>
        <v>20.202104642579297</v>
      </c>
      <c r="F305">
        <f t="shared" si="34"/>
        <v>8.5606508166001932E-3</v>
      </c>
      <c r="G305" t="e">
        <f t="shared" si="35"/>
        <v>#N/A</v>
      </c>
      <c r="H305">
        <f t="shared" si="36"/>
        <v>0.99870051296076168</v>
      </c>
      <c r="I305" t="e">
        <f t="shared" si="37"/>
        <v>#N/A</v>
      </c>
      <c r="K305" s="51">
        <f ca="1">Lognormal!D139</f>
        <v>14.224762428764052</v>
      </c>
    </row>
    <row r="306" spans="1:16" x14ac:dyDescent="0.25">
      <c r="D306">
        <v>97</v>
      </c>
      <c r="E306" s="25">
        <f t="shared" si="38"/>
        <v>20.404696413067224</v>
      </c>
      <c r="F306">
        <f t="shared" si="34"/>
        <v>8.0596997670680567E-3</v>
      </c>
      <c r="G306" t="e">
        <f t="shared" si="35"/>
        <v>#N/A</v>
      </c>
      <c r="H306">
        <f t="shared" si="36"/>
        <v>0.9987834120296426</v>
      </c>
      <c r="I306" t="e">
        <f t="shared" si="37"/>
        <v>#N/A</v>
      </c>
      <c r="K306" s="51">
        <f ca="1">Lognormal!D140</f>
        <v>4.3667757827442131</v>
      </c>
    </row>
    <row r="307" spans="1:16" x14ac:dyDescent="0.25">
      <c r="D307">
        <v>98</v>
      </c>
      <c r="E307" s="25">
        <f t="shared" si="38"/>
        <v>20.607288183555152</v>
      </c>
      <c r="F307">
        <f t="shared" si="34"/>
        <v>7.5896066300712179E-3</v>
      </c>
      <c r="G307" t="e">
        <f t="shared" si="35"/>
        <v>#N/A</v>
      </c>
      <c r="H307">
        <f t="shared" si="36"/>
        <v>0.99886069665207622</v>
      </c>
      <c r="I307" t="e">
        <f t="shared" si="37"/>
        <v>#N/A</v>
      </c>
      <c r="K307" s="51">
        <f ca="1">Lognormal!D141</f>
        <v>2.9991130694438657</v>
      </c>
    </row>
    <row r="308" spans="1:16" x14ac:dyDescent="0.25">
      <c r="D308">
        <v>99</v>
      </c>
      <c r="E308" s="25">
        <f t="shared" si="38"/>
        <v>20.80987995404308</v>
      </c>
      <c r="F308">
        <f t="shared" si="34"/>
        <v>7.1483847909016556E-3</v>
      </c>
      <c r="G308" t="e">
        <f t="shared" si="35"/>
        <v>#N/A</v>
      </c>
      <c r="H308">
        <f t="shared" si="36"/>
        <v>0.99893276875896264</v>
      </c>
      <c r="I308" t="e">
        <f t="shared" si="37"/>
        <v>#N/A</v>
      </c>
      <c r="K308" s="51">
        <f ca="1">Lognormal!D142</f>
        <v>1.7141568829211646</v>
      </c>
    </row>
    <row r="309" spans="1:16" x14ac:dyDescent="0.25">
      <c r="D309">
        <v>100</v>
      </c>
      <c r="E309" s="62">
        <f t="shared" si="38"/>
        <v>21.012471724531007</v>
      </c>
      <c r="F309">
        <f t="shared" si="34"/>
        <v>6.7341801541280092E-3</v>
      </c>
      <c r="G309" t="e">
        <f t="shared" si="35"/>
        <v>#N/A</v>
      </c>
      <c r="H309">
        <f t="shared" si="36"/>
        <v>0.999</v>
      </c>
      <c r="I309" t="e">
        <f t="shared" si="37"/>
        <v>#N/A</v>
      </c>
      <c r="K309" s="51">
        <f ca="1">Lognormal!D143</f>
        <v>3.172510112536099</v>
      </c>
    </row>
    <row r="311" spans="1:16" s="6" customFormat="1" x14ac:dyDescent="0.25">
      <c r="A311" s="6" t="s">
        <v>128</v>
      </c>
      <c r="D311" s="6" t="s">
        <v>129</v>
      </c>
      <c r="E311" s="6" t="s">
        <v>130</v>
      </c>
      <c r="F311" s="6" t="s">
        <v>131</v>
      </c>
      <c r="G311" s="6" t="s">
        <v>132</v>
      </c>
      <c r="H311" s="6" t="s">
        <v>39</v>
      </c>
      <c r="K311" s="6">
        <f>Normal!D338</f>
        <v>0</v>
      </c>
    </row>
    <row r="312" spans="1:16" x14ac:dyDescent="0.25">
      <c r="A312" t="s">
        <v>94</v>
      </c>
      <c r="B312" s="42">
        <f>Poisson!C5*Poisson!C6</f>
        <v>2</v>
      </c>
      <c r="C312" s="25">
        <f>B316</f>
        <v>0</v>
      </c>
      <c r="D312">
        <v>1</v>
      </c>
      <c r="E312" s="38">
        <f>INT(C312)</f>
        <v>0</v>
      </c>
      <c r="F312">
        <f>POISSON(E312, $B$312,FALSE)</f>
        <v>0.1353352832366127</v>
      </c>
      <c r="G312">
        <f>IF(OR($E312&gt;$B$315,$E312&lt;$B$314),NA(),$F312)</f>
        <v>0.1353352832366127</v>
      </c>
      <c r="H312">
        <f>POISSON(E312,$B$312,TRUE)</f>
        <v>0.1353352832366127</v>
      </c>
      <c r="I312">
        <f>IF(OR($E312&gt;$B$315,$E312&lt;$B$314),NA(),$H312)</f>
        <v>0.1353352832366127</v>
      </c>
      <c r="K312" s="51">
        <f ca="1">Poisson!D34</f>
        <v>1</v>
      </c>
      <c r="L312" t="s">
        <v>28</v>
      </c>
      <c r="M312" s="50">
        <f ca="1">MIN($K$312:$K$416)</f>
        <v>0</v>
      </c>
    </row>
    <row r="313" spans="1:16" x14ac:dyDescent="0.25">
      <c r="B313" s="42"/>
      <c r="C313" s="25">
        <f>($B$317-B316)/24+C312</f>
        <v>0.25</v>
      </c>
      <c r="D313">
        <v>2</v>
      </c>
      <c r="E313" s="38">
        <f t="shared" ref="E313:E336" si="39">INT(C313)</f>
        <v>0</v>
      </c>
      <c r="F313">
        <f t="shared" ref="F313:F336" si="40">POISSON(E313, $B$312,FALSE)</f>
        <v>0.1353352832366127</v>
      </c>
      <c r="G313">
        <f t="shared" ref="G313:G336" si="41">IF(OR($E313&gt;$B$315,$E313&lt;$B$314),NA(),$F313)</f>
        <v>0.1353352832366127</v>
      </c>
      <c r="H313">
        <f t="shared" ref="H313:H336" si="42">POISSON(E313,$B$312,TRUE)</f>
        <v>0.1353352832366127</v>
      </c>
      <c r="I313">
        <f t="shared" ref="I313:I336" si="43">IF(OR($E313&gt;$B$315,$E313&lt;$B$314),NA(),$H313)</f>
        <v>0.1353352832366127</v>
      </c>
      <c r="K313" s="51">
        <f ca="1">Poisson!D35</f>
        <v>1</v>
      </c>
      <c r="L313" t="s">
        <v>29</v>
      </c>
      <c r="M313" s="50">
        <f ca="1">MAX($K$312:$K$416)+1</f>
        <v>6</v>
      </c>
    </row>
    <row r="314" spans="1:16" x14ac:dyDescent="0.25">
      <c r="A314" t="s">
        <v>26</v>
      </c>
      <c r="B314">
        <f>Poisson!D12</f>
        <v>0</v>
      </c>
      <c r="C314" s="25">
        <f t="shared" ref="C314:C336" si="44">($B$317-B317)/24+C313</f>
        <v>0.25</v>
      </c>
      <c r="D314">
        <v>3</v>
      </c>
      <c r="E314" s="38">
        <f t="shared" si="39"/>
        <v>0</v>
      </c>
      <c r="F314">
        <f t="shared" si="40"/>
        <v>0.1353352832366127</v>
      </c>
      <c r="G314">
        <f t="shared" si="41"/>
        <v>0.1353352832366127</v>
      </c>
      <c r="H314">
        <f t="shared" si="42"/>
        <v>0.1353352832366127</v>
      </c>
      <c r="I314">
        <f t="shared" si="43"/>
        <v>0.1353352832366127</v>
      </c>
      <c r="K314" s="51">
        <f ca="1">Poisson!D36</f>
        <v>0</v>
      </c>
    </row>
    <row r="315" spans="1:16" x14ac:dyDescent="0.25">
      <c r="A315" t="s">
        <v>27</v>
      </c>
      <c r="B315">
        <f>Poisson!D13</f>
        <v>2</v>
      </c>
      <c r="C315" s="25">
        <f t="shared" si="44"/>
        <v>0.5</v>
      </c>
      <c r="D315">
        <v>4</v>
      </c>
      <c r="E315" s="38">
        <f t="shared" si="39"/>
        <v>0</v>
      </c>
      <c r="F315">
        <f t="shared" si="40"/>
        <v>0.1353352832366127</v>
      </c>
      <c r="G315">
        <f t="shared" si="41"/>
        <v>0.1353352832366127</v>
      </c>
      <c r="H315">
        <f t="shared" si="42"/>
        <v>0.1353352832366127</v>
      </c>
      <c r="I315">
        <f t="shared" si="43"/>
        <v>0.1353352832366127</v>
      </c>
      <c r="K315" s="51">
        <f ca="1">Poisson!D37</f>
        <v>1</v>
      </c>
      <c r="M315" t="s">
        <v>53</v>
      </c>
      <c r="N315" t="s">
        <v>54</v>
      </c>
    </row>
    <row r="316" spans="1:16" x14ac:dyDescent="0.25">
      <c r="A316" t="s">
        <v>28</v>
      </c>
      <c r="B316" s="50">
        <f>IF(B312&lt;10,0,B312*0.5)</f>
        <v>0</v>
      </c>
      <c r="C316" s="25">
        <f t="shared" si="44"/>
        <v>0.75</v>
      </c>
      <c r="D316">
        <v>5</v>
      </c>
      <c r="E316" s="38">
        <f t="shared" si="39"/>
        <v>0</v>
      </c>
      <c r="F316">
        <f t="shared" si="40"/>
        <v>0.1353352832366127</v>
      </c>
      <c r="G316">
        <f t="shared" si="41"/>
        <v>0.1353352832366127</v>
      </c>
      <c r="H316">
        <f t="shared" si="42"/>
        <v>0.1353352832366127</v>
      </c>
      <c r="I316">
        <f t="shared" si="43"/>
        <v>0.1353352832366127</v>
      </c>
      <c r="K316" s="51">
        <f ca="1">Poisson!D38</f>
        <v>0</v>
      </c>
      <c r="L316">
        <v>1</v>
      </c>
      <c r="M316">
        <f ca="1">M312</f>
        <v>0</v>
      </c>
      <c r="N316">
        <f ca="1">O316</f>
        <v>39</v>
      </c>
      <c r="O316">
        <f ca="1">COUNTIF($K$312:$K$416,"&lt;"&amp;M317)</f>
        <v>39</v>
      </c>
      <c r="P316" s="38">
        <f ca="1">M312</f>
        <v>0</v>
      </c>
    </row>
    <row r="317" spans="1:16" x14ac:dyDescent="0.25">
      <c r="A317" t="s">
        <v>29</v>
      </c>
      <c r="B317" s="50">
        <f>IF(B312&lt;4,B312*3,B312*2)</f>
        <v>6</v>
      </c>
      <c r="C317" s="25">
        <f t="shared" si="44"/>
        <v>1</v>
      </c>
      <c r="D317">
        <v>6</v>
      </c>
      <c r="E317" s="38">
        <f t="shared" si="39"/>
        <v>1</v>
      </c>
      <c r="F317">
        <f t="shared" si="40"/>
        <v>0.27067056647322535</v>
      </c>
      <c r="G317">
        <f t="shared" si="41"/>
        <v>0.27067056647322535</v>
      </c>
      <c r="H317">
        <f t="shared" si="42"/>
        <v>0.40600584970983811</v>
      </c>
      <c r="I317">
        <f t="shared" si="43"/>
        <v>0.40600584970983811</v>
      </c>
      <c r="K317" s="51">
        <f ca="1">Poisson!D39</f>
        <v>1</v>
      </c>
      <c r="L317">
        <v>2</v>
      </c>
      <c r="M317" s="50">
        <f ca="1">M316+($M$313-$M$312)/9</f>
        <v>0.66666666666666663</v>
      </c>
      <c r="N317">
        <f ca="1">O317-O316</f>
        <v>31</v>
      </c>
      <c r="O317">
        <f t="shared" ref="O317:O324" ca="1" si="45">COUNTIF($K$312:$K$416,"&lt;"&amp;M318)</f>
        <v>70</v>
      </c>
    </row>
    <row r="318" spans="1:16" x14ac:dyDescent="0.25">
      <c r="B318" s="50"/>
      <c r="C318" s="25">
        <f t="shared" si="44"/>
        <v>1.25</v>
      </c>
      <c r="D318">
        <v>7</v>
      </c>
      <c r="E318" s="38">
        <f t="shared" si="39"/>
        <v>1</v>
      </c>
      <c r="F318">
        <f t="shared" si="40"/>
        <v>0.27067056647322535</v>
      </c>
      <c r="G318">
        <f t="shared" si="41"/>
        <v>0.27067056647322535</v>
      </c>
      <c r="H318">
        <f t="shared" si="42"/>
        <v>0.40600584970983811</v>
      </c>
      <c r="I318">
        <f t="shared" si="43"/>
        <v>0.40600584970983811</v>
      </c>
      <c r="K318" s="51">
        <f ca="1">Poisson!D40</f>
        <v>1</v>
      </c>
      <c r="L318">
        <v>3</v>
      </c>
      <c r="M318" s="50">
        <f t="shared" ref="M318:M325" ca="1" si="46">M317+($M$313-$M$312)/9</f>
        <v>1.3333333333333333</v>
      </c>
      <c r="N318">
        <f t="shared" ref="N318:N324" ca="1" si="47">O318-O317</f>
        <v>0</v>
      </c>
      <c r="O318">
        <f t="shared" ca="1" si="45"/>
        <v>70</v>
      </c>
    </row>
    <row r="319" spans="1:16" x14ac:dyDescent="0.25">
      <c r="B319" s="50"/>
      <c r="C319" s="25">
        <f t="shared" si="44"/>
        <v>1.5</v>
      </c>
      <c r="D319">
        <v>8</v>
      </c>
      <c r="E319" s="38">
        <f t="shared" si="39"/>
        <v>1</v>
      </c>
      <c r="F319">
        <f t="shared" si="40"/>
        <v>0.27067056647322535</v>
      </c>
      <c r="G319">
        <f t="shared" si="41"/>
        <v>0.27067056647322535</v>
      </c>
      <c r="H319">
        <f t="shared" si="42"/>
        <v>0.40600584970983811</v>
      </c>
      <c r="I319">
        <f t="shared" si="43"/>
        <v>0.40600584970983811</v>
      </c>
      <c r="K319" s="51">
        <f ca="1">Poisson!D41</f>
        <v>1</v>
      </c>
      <c r="L319">
        <v>4</v>
      </c>
      <c r="M319" s="50">
        <f t="shared" ca="1" si="46"/>
        <v>2</v>
      </c>
      <c r="N319">
        <f t="shared" ca="1" si="47"/>
        <v>18</v>
      </c>
      <c r="O319">
        <f t="shared" ca="1" si="45"/>
        <v>88</v>
      </c>
    </row>
    <row r="320" spans="1:16" x14ac:dyDescent="0.25">
      <c r="B320" s="50"/>
      <c r="C320" s="25">
        <f t="shared" si="44"/>
        <v>1.75</v>
      </c>
      <c r="D320">
        <v>9</v>
      </c>
      <c r="E320" s="38">
        <f t="shared" si="39"/>
        <v>1</v>
      </c>
      <c r="F320">
        <f t="shared" si="40"/>
        <v>0.27067056647322535</v>
      </c>
      <c r="G320">
        <f t="shared" si="41"/>
        <v>0.27067056647322535</v>
      </c>
      <c r="H320">
        <f t="shared" si="42"/>
        <v>0.40600584970983811</v>
      </c>
      <c r="I320">
        <f t="shared" si="43"/>
        <v>0.40600584970983811</v>
      </c>
      <c r="K320" s="51">
        <f ca="1">Poisson!D42</f>
        <v>3</v>
      </c>
      <c r="L320">
        <v>5</v>
      </c>
      <c r="M320" s="50">
        <f t="shared" ca="1" si="46"/>
        <v>2.6666666666666665</v>
      </c>
      <c r="N320">
        <f t="shared" ca="1" si="47"/>
        <v>12</v>
      </c>
      <c r="O320">
        <f t="shared" ca="1" si="45"/>
        <v>100</v>
      </c>
      <c r="P320" s="38">
        <f ca="1">INT(M319+0.5)</f>
        <v>2</v>
      </c>
    </row>
    <row r="321" spans="2:16" x14ac:dyDescent="0.25">
      <c r="B321" s="42"/>
      <c r="C321" s="25">
        <f t="shared" si="44"/>
        <v>2</v>
      </c>
      <c r="D321">
        <v>10</v>
      </c>
      <c r="E321" s="38">
        <f t="shared" si="39"/>
        <v>2</v>
      </c>
      <c r="F321">
        <f t="shared" si="40"/>
        <v>0.27067056647322546</v>
      </c>
      <c r="G321">
        <f t="shared" si="41"/>
        <v>0.27067056647322546</v>
      </c>
      <c r="H321">
        <f t="shared" si="42"/>
        <v>0.6766764161830634</v>
      </c>
      <c r="I321">
        <f t="shared" si="43"/>
        <v>0.6766764161830634</v>
      </c>
      <c r="K321" s="51">
        <f ca="1">Poisson!D43</f>
        <v>3</v>
      </c>
      <c r="L321">
        <v>6</v>
      </c>
      <c r="M321" s="50">
        <f t="shared" ca="1" si="46"/>
        <v>3.333333333333333</v>
      </c>
      <c r="N321">
        <f t="shared" ca="1" si="47"/>
        <v>0</v>
      </c>
      <c r="O321">
        <f t="shared" ca="1" si="45"/>
        <v>100</v>
      </c>
    </row>
    <row r="322" spans="2:16" x14ac:dyDescent="0.25">
      <c r="C322" s="25">
        <f t="shared" si="44"/>
        <v>2.25</v>
      </c>
      <c r="D322">
        <v>11</v>
      </c>
      <c r="E322" s="38">
        <f t="shared" si="39"/>
        <v>2</v>
      </c>
      <c r="F322">
        <f t="shared" si="40"/>
        <v>0.27067056647322546</v>
      </c>
      <c r="G322">
        <f t="shared" si="41"/>
        <v>0.27067056647322546</v>
      </c>
      <c r="H322">
        <f t="shared" si="42"/>
        <v>0.6766764161830634</v>
      </c>
      <c r="I322">
        <f t="shared" si="43"/>
        <v>0.6766764161830634</v>
      </c>
      <c r="K322" s="51">
        <f ca="1">Poisson!D44</f>
        <v>1</v>
      </c>
      <c r="L322">
        <v>7</v>
      </c>
      <c r="M322" s="50">
        <f t="shared" ca="1" si="46"/>
        <v>3.9999999999999996</v>
      </c>
      <c r="N322">
        <f t="shared" ca="1" si="47"/>
        <v>4</v>
      </c>
      <c r="O322">
        <f t="shared" ca="1" si="45"/>
        <v>104</v>
      </c>
    </row>
    <row r="323" spans="2:16" x14ac:dyDescent="0.25">
      <c r="C323" s="25">
        <f t="shared" si="44"/>
        <v>2.5</v>
      </c>
      <c r="D323">
        <v>12</v>
      </c>
      <c r="E323" s="38">
        <f t="shared" si="39"/>
        <v>2</v>
      </c>
      <c r="F323">
        <f t="shared" si="40"/>
        <v>0.27067056647322546</v>
      </c>
      <c r="G323">
        <f t="shared" si="41"/>
        <v>0.27067056647322546</v>
      </c>
      <c r="H323">
        <f t="shared" si="42"/>
        <v>0.6766764161830634</v>
      </c>
      <c r="I323">
        <f t="shared" si="43"/>
        <v>0.6766764161830634</v>
      </c>
      <c r="K323" s="51">
        <f ca="1">Poisson!D45</f>
        <v>0</v>
      </c>
      <c r="L323">
        <v>8</v>
      </c>
      <c r="M323" s="50">
        <f t="shared" ca="1" si="46"/>
        <v>4.6666666666666661</v>
      </c>
      <c r="N323">
        <f t="shared" ca="1" si="47"/>
        <v>1</v>
      </c>
      <c r="O323">
        <f t="shared" ca="1" si="45"/>
        <v>105</v>
      </c>
    </row>
    <row r="324" spans="2:16" x14ac:dyDescent="0.25">
      <c r="C324" s="25">
        <f t="shared" si="44"/>
        <v>2.75</v>
      </c>
      <c r="D324">
        <v>13</v>
      </c>
      <c r="E324" s="38">
        <f t="shared" si="39"/>
        <v>2</v>
      </c>
      <c r="F324">
        <f t="shared" si="40"/>
        <v>0.27067056647322546</v>
      </c>
      <c r="G324">
        <f t="shared" si="41"/>
        <v>0.27067056647322546</v>
      </c>
      <c r="H324">
        <f t="shared" si="42"/>
        <v>0.6766764161830634</v>
      </c>
      <c r="I324">
        <f t="shared" si="43"/>
        <v>0.6766764161830634</v>
      </c>
      <c r="K324" s="51">
        <f ca="1">Poisson!D46</f>
        <v>1</v>
      </c>
      <c r="L324">
        <v>9</v>
      </c>
      <c r="M324" s="50">
        <f t="shared" ca="1" si="46"/>
        <v>5.333333333333333</v>
      </c>
      <c r="N324">
        <f t="shared" ca="1" si="47"/>
        <v>0</v>
      </c>
      <c r="O324">
        <f t="shared" ca="1" si="45"/>
        <v>105</v>
      </c>
      <c r="P324" s="38">
        <f ca="1">M313</f>
        <v>6</v>
      </c>
    </row>
    <row r="325" spans="2:16" x14ac:dyDescent="0.25">
      <c r="C325" s="25">
        <f t="shared" si="44"/>
        <v>3</v>
      </c>
      <c r="D325">
        <v>14</v>
      </c>
      <c r="E325" s="38">
        <f t="shared" si="39"/>
        <v>3</v>
      </c>
      <c r="F325">
        <f t="shared" si="40"/>
        <v>0.18044704431548364</v>
      </c>
      <c r="G325" t="e">
        <f t="shared" si="41"/>
        <v>#N/A</v>
      </c>
      <c r="H325">
        <f t="shared" si="42"/>
        <v>0.85712346049854693</v>
      </c>
      <c r="I325" t="e">
        <f t="shared" si="43"/>
        <v>#N/A</v>
      </c>
      <c r="K325" s="51">
        <f ca="1">Poisson!D47</f>
        <v>2</v>
      </c>
      <c r="L325">
        <v>10</v>
      </c>
      <c r="M325" s="50">
        <f t="shared" ca="1" si="46"/>
        <v>6</v>
      </c>
    </row>
    <row r="326" spans="2:16" x14ac:dyDescent="0.25">
      <c r="C326" s="25">
        <f t="shared" si="44"/>
        <v>3.25</v>
      </c>
      <c r="D326">
        <v>15</v>
      </c>
      <c r="E326" s="38">
        <f t="shared" si="39"/>
        <v>3</v>
      </c>
      <c r="F326">
        <f t="shared" si="40"/>
        <v>0.18044704431548364</v>
      </c>
      <c r="G326" t="e">
        <f t="shared" si="41"/>
        <v>#N/A</v>
      </c>
      <c r="H326">
        <f t="shared" si="42"/>
        <v>0.85712346049854693</v>
      </c>
      <c r="I326" t="e">
        <f t="shared" si="43"/>
        <v>#N/A</v>
      </c>
      <c r="K326" s="51">
        <f ca="1">Poisson!D48</f>
        <v>0</v>
      </c>
    </row>
    <row r="327" spans="2:16" x14ac:dyDescent="0.25">
      <c r="C327" s="25">
        <f t="shared" si="44"/>
        <v>3.5</v>
      </c>
      <c r="D327">
        <v>16</v>
      </c>
      <c r="E327" s="38">
        <f t="shared" si="39"/>
        <v>3</v>
      </c>
      <c r="F327">
        <f t="shared" si="40"/>
        <v>0.18044704431548364</v>
      </c>
      <c r="G327" t="e">
        <f t="shared" si="41"/>
        <v>#N/A</v>
      </c>
      <c r="H327">
        <f t="shared" si="42"/>
        <v>0.85712346049854693</v>
      </c>
      <c r="I327" t="e">
        <f t="shared" si="43"/>
        <v>#N/A</v>
      </c>
      <c r="K327" s="51">
        <f ca="1">Poisson!D49</f>
        <v>1</v>
      </c>
      <c r="N327">
        <f ca="1">SUM(N316:N325)</f>
        <v>105</v>
      </c>
      <c r="O327">
        <f ca="1">SUM(O316:O325)</f>
        <v>781</v>
      </c>
    </row>
    <row r="328" spans="2:16" x14ac:dyDescent="0.25">
      <c r="C328" s="25">
        <f t="shared" si="44"/>
        <v>3.75</v>
      </c>
      <c r="D328">
        <v>17</v>
      </c>
      <c r="E328" s="38">
        <f t="shared" si="39"/>
        <v>3</v>
      </c>
      <c r="F328">
        <f t="shared" si="40"/>
        <v>0.18044704431548364</v>
      </c>
      <c r="G328" t="e">
        <f t="shared" si="41"/>
        <v>#N/A</v>
      </c>
      <c r="H328">
        <f t="shared" si="42"/>
        <v>0.85712346049854693</v>
      </c>
      <c r="I328" t="e">
        <f t="shared" si="43"/>
        <v>#N/A</v>
      </c>
      <c r="K328" s="51">
        <f ca="1">Poisson!D50</f>
        <v>1</v>
      </c>
    </row>
    <row r="329" spans="2:16" x14ac:dyDescent="0.25">
      <c r="C329" s="25">
        <f t="shared" si="44"/>
        <v>4</v>
      </c>
      <c r="D329">
        <v>18</v>
      </c>
      <c r="E329" s="38">
        <f t="shared" si="39"/>
        <v>4</v>
      </c>
      <c r="F329">
        <f t="shared" si="40"/>
        <v>9.022352215774182E-2</v>
      </c>
      <c r="G329" t="e">
        <f t="shared" si="41"/>
        <v>#N/A</v>
      </c>
      <c r="H329">
        <f t="shared" si="42"/>
        <v>0.94734698265628881</v>
      </c>
      <c r="I329" t="e">
        <f t="shared" si="43"/>
        <v>#N/A</v>
      </c>
      <c r="K329" s="51">
        <f ca="1">Poisson!D51</f>
        <v>0</v>
      </c>
    </row>
    <row r="330" spans="2:16" x14ac:dyDescent="0.25">
      <c r="C330" s="25">
        <f t="shared" si="44"/>
        <v>4.25</v>
      </c>
      <c r="D330">
        <v>19</v>
      </c>
      <c r="E330" s="38">
        <f t="shared" si="39"/>
        <v>4</v>
      </c>
      <c r="F330">
        <f t="shared" si="40"/>
        <v>9.022352215774182E-2</v>
      </c>
      <c r="G330" t="e">
        <f t="shared" si="41"/>
        <v>#N/A</v>
      </c>
      <c r="H330">
        <f t="shared" si="42"/>
        <v>0.94734698265628881</v>
      </c>
      <c r="I330" t="e">
        <f t="shared" si="43"/>
        <v>#N/A</v>
      </c>
      <c r="K330" s="51">
        <f ca="1">Poisson!D52</f>
        <v>0</v>
      </c>
    </row>
    <row r="331" spans="2:16" x14ac:dyDescent="0.25">
      <c r="C331" s="25">
        <f t="shared" si="44"/>
        <v>4.5</v>
      </c>
      <c r="D331">
        <v>20</v>
      </c>
      <c r="E331" s="38">
        <f t="shared" si="39"/>
        <v>4</v>
      </c>
      <c r="F331">
        <f t="shared" si="40"/>
        <v>9.022352215774182E-2</v>
      </c>
      <c r="G331" t="e">
        <f t="shared" si="41"/>
        <v>#N/A</v>
      </c>
      <c r="H331">
        <f t="shared" si="42"/>
        <v>0.94734698265628881</v>
      </c>
      <c r="I331" t="e">
        <f t="shared" si="43"/>
        <v>#N/A</v>
      </c>
      <c r="K331" s="51">
        <f ca="1">Poisson!D53</f>
        <v>1</v>
      </c>
    </row>
    <row r="332" spans="2:16" x14ac:dyDescent="0.25">
      <c r="C332" s="25">
        <f t="shared" si="44"/>
        <v>4.75</v>
      </c>
      <c r="D332">
        <v>21</v>
      </c>
      <c r="E332" s="38">
        <f t="shared" si="39"/>
        <v>4</v>
      </c>
      <c r="F332">
        <f t="shared" si="40"/>
        <v>9.022352215774182E-2</v>
      </c>
      <c r="G332" t="e">
        <f t="shared" si="41"/>
        <v>#N/A</v>
      </c>
      <c r="H332">
        <f t="shared" si="42"/>
        <v>0.94734698265628881</v>
      </c>
      <c r="I332" t="e">
        <f t="shared" si="43"/>
        <v>#N/A</v>
      </c>
      <c r="K332" s="51">
        <f ca="1">Poisson!D54</f>
        <v>1</v>
      </c>
    </row>
    <row r="333" spans="2:16" x14ac:dyDescent="0.25">
      <c r="C333" s="25">
        <f t="shared" si="44"/>
        <v>5</v>
      </c>
      <c r="D333">
        <v>22</v>
      </c>
      <c r="E333" s="38">
        <f t="shared" si="39"/>
        <v>5</v>
      </c>
      <c r="F333">
        <f t="shared" si="40"/>
        <v>3.6089408863096716E-2</v>
      </c>
      <c r="G333" t="e">
        <f t="shared" si="41"/>
        <v>#N/A</v>
      </c>
      <c r="H333">
        <f t="shared" si="42"/>
        <v>0.98343639151938556</v>
      </c>
      <c r="I333" t="e">
        <f t="shared" si="43"/>
        <v>#N/A</v>
      </c>
      <c r="K333" s="51">
        <f ca="1">Poisson!D55</f>
        <v>0</v>
      </c>
    </row>
    <row r="334" spans="2:16" x14ac:dyDescent="0.25">
      <c r="C334" s="25">
        <f t="shared" si="44"/>
        <v>5.25</v>
      </c>
      <c r="D334">
        <v>23</v>
      </c>
      <c r="E334" s="38">
        <f t="shared" si="39"/>
        <v>5</v>
      </c>
      <c r="F334">
        <f t="shared" si="40"/>
        <v>3.6089408863096716E-2</v>
      </c>
      <c r="G334" t="e">
        <f t="shared" si="41"/>
        <v>#N/A</v>
      </c>
      <c r="H334">
        <f t="shared" si="42"/>
        <v>0.98343639151938556</v>
      </c>
      <c r="I334" t="e">
        <f t="shared" si="43"/>
        <v>#N/A</v>
      </c>
      <c r="K334" s="51">
        <f ca="1">Poisson!D56</f>
        <v>2</v>
      </c>
    </row>
    <row r="335" spans="2:16" x14ac:dyDescent="0.25">
      <c r="C335" s="25">
        <f t="shared" si="44"/>
        <v>5.5</v>
      </c>
      <c r="D335">
        <v>24</v>
      </c>
      <c r="E335" s="38">
        <f t="shared" si="39"/>
        <v>5</v>
      </c>
      <c r="F335">
        <f t="shared" si="40"/>
        <v>3.6089408863096716E-2</v>
      </c>
      <c r="G335" t="e">
        <f t="shared" si="41"/>
        <v>#N/A</v>
      </c>
      <c r="H335">
        <f t="shared" si="42"/>
        <v>0.98343639151938556</v>
      </c>
      <c r="I335" t="e">
        <f t="shared" si="43"/>
        <v>#N/A</v>
      </c>
      <c r="K335" s="51">
        <f ca="1">Poisson!D52</f>
        <v>0</v>
      </c>
    </row>
    <row r="336" spans="2:16" x14ac:dyDescent="0.25">
      <c r="C336" s="25">
        <f t="shared" si="44"/>
        <v>5.75</v>
      </c>
      <c r="D336">
        <v>25</v>
      </c>
      <c r="E336" s="38">
        <f t="shared" si="39"/>
        <v>5</v>
      </c>
      <c r="F336">
        <f t="shared" si="40"/>
        <v>3.6089408863096716E-2</v>
      </c>
      <c r="G336" t="e">
        <f t="shared" si="41"/>
        <v>#N/A</v>
      </c>
      <c r="H336">
        <f t="shared" si="42"/>
        <v>0.98343639151938556</v>
      </c>
      <c r="I336" t="e">
        <f t="shared" si="43"/>
        <v>#N/A</v>
      </c>
      <c r="K336" s="51">
        <f ca="1">Poisson!D53</f>
        <v>1</v>
      </c>
    </row>
    <row r="337" spans="11:11" x14ac:dyDescent="0.25">
      <c r="K337" s="51">
        <f ca="1">Poisson!D54</f>
        <v>1</v>
      </c>
    </row>
    <row r="338" spans="11:11" x14ac:dyDescent="0.25">
      <c r="K338" s="51">
        <f ca="1">Poisson!D55</f>
        <v>0</v>
      </c>
    </row>
    <row r="339" spans="11:11" x14ac:dyDescent="0.25">
      <c r="K339" s="51">
        <f ca="1">Poisson!D56</f>
        <v>2</v>
      </c>
    </row>
    <row r="340" spans="11:11" x14ac:dyDescent="0.25">
      <c r="K340" s="51">
        <f ca="1">Poisson!D57</f>
        <v>2</v>
      </c>
    </row>
    <row r="341" spans="11:11" x14ac:dyDescent="0.25">
      <c r="K341" s="51">
        <f ca="1">Poisson!D58</f>
        <v>3</v>
      </c>
    </row>
    <row r="342" spans="11:11" x14ac:dyDescent="0.25">
      <c r="K342" s="51">
        <f ca="1">Poisson!D59</f>
        <v>2</v>
      </c>
    </row>
    <row r="343" spans="11:11" x14ac:dyDescent="0.25">
      <c r="K343" s="51">
        <f ca="1">Poisson!D60</f>
        <v>0</v>
      </c>
    </row>
    <row r="344" spans="11:11" x14ac:dyDescent="0.25">
      <c r="K344" s="51">
        <f ca="1">Poisson!D61</f>
        <v>1</v>
      </c>
    </row>
    <row r="345" spans="11:11" x14ac:dyDescent="0.25">
      <c r="K345" s="51">
        <f ca="1">Poisson!D62</f>
        <v>1</v>
      </c>
    </row>
    <row r="346" spans="11:11" x14ac:dyDescent="0.25">
      <c r="K346" s="51">
        <f ca="1">Poisson!D63</f>
        <v>0</v>
      </c>
    </row>
    <row r="347" spans="11:11" x14ac:dyDescent="0.25">
      <c r="K347" s="51">
        <f ca="1">Poisson!D64</f>
        <v>0</v>
      </c>
    </row>
    <row r="348" spans="11:11" x14ac:dyDescent="0.25">
      <c r="K348" s="51">
        <f ca="1">Poisson!D65</f>
        <v>2</v>
      </c>
    </row>
    <row r="349" spans="11:11" x14ac:dyDescent="0.25">
      <c r="K349" s="51">
        <f ca="1">Poisson!D66</f>
        <v>2</v>
      </c>
    </row>
    <row r="350" spans="11:11" x14ac:dyDescent="0.25">
      <c r="K350" s="51">
        <f ca="1">Poisson!D67</f>
        <v>3</v>
      </c>
    </row>
    <row r="351" spans="11:11" x14ac:dyDescent="0.25">
      <c r="K351" s="51">
        <f ca="1">Poisson!D68</f>
        <v>0</v>
      </c>
    </row>
    <row r="352" spans="11:11" x14ac:dyDescent="0.25">
      <c r="K352" s="51">
        <f ca="1">Poisson!D69</f>
        <v>0</v>
      </c>
    </row>
    <row r="353" spans="11:11" x14ac:dyDescent="0.25">
      <c r="K353" s="51">
        <f ca="1">Poisson!D70</f>
        <v>2</v>
      </c>
    </row>
    <row r="354" spans="11:11" x14ac:dyDescent="0.25">
      <c r="K354" s="51">
        <f ca="1">Poisson!D71</f>
        <v>1</v>
      </c>
    </row>
    <row r="355" spans="11:11" x14ac:dyDescent="0.25">
      <c r="K355" s="51">
        <f ca="1">Poisson!D72</f>
        <v>0</v>
      </c>
    </row>
    <row r="356" spans="11:11" x14ac:dyDescent="0.25">
      <c r="K356" s="51">
        <f ca="1">Poisson!D73</f>
        <v>0</v>
      </c>
    </row>
    <row r="357" spans="11:11" x14ac:dyDescent="0.25">
      <c r="K357" s="51">
        <f ca="1">Poisson!D74</f>
        <v>2</v>
      </c>
    </row>
    <row r="358" spans="11:11" x14ac:dyDescent="0.25">
      <c r="K358" s="51">
        <f ca="1">Poisson!D75</f>
        <v>3</v>
      </c>
    </row>
    <row r="359" spans="11:11" x14ac:dyDescent="0.25">
      <c r="K359" s="51">
        <f ca="1">Poisson!D76</f>
        <v>0</v>
      </c>
    </row>
    <row r="360" spans="11:11" x14ac:dyDescent="0.25">
      <c r="K360" s="51">
        <f ca="1">Poisson!D77</f>
        <v>0</v>
      </c>
    </row>
    <row r="361" spans="11:11" x14ac:dyDescent="0.25">
      <c r="K361" s="51">
        <f ca="1">Poisson!D78</f>
        <v>0</v>
      </c>
    </row>
    <row r="362" spans="11:11" x14ac:dyDescent="0.25">
      <c r="K362" s="51">
        <f ca="1">Poisson!D79</f>
        <v>0</v>
      </c>
    </row>
    <row r="363" spans="11:11" x14ac:dyDescent="0.25">
      <c r="K363" s="51">
        <f ca="1">Poisson!D80</f>
        <v>0</v>
      </c>
    </row>
    <row r="364" spans="11:11" x14ac:dyDescent="0.25">
      <c r="K364" s="51">
        <f ca="1">Poisson!D81</f>
        <v>0</v>
      </c>
    </row>
    <row r="365" spans="11:11" x14ac:dyDescent="0.25">
      <c r="K365" s="51">
        <f ca="1">Poisson!D82</f>
        <v>2</v>
      </c>
    </row>
    <row r="366" spans="11:11" x14ac:dyDescent="0.25">
      <c r="K366" s="51">
        <f ca="1">Poisson!D83</f>
        <v>3</v>
      </c>
    </row>
    <row r="367" spans="11:11" x14ac:dyDescent="0.25">
      <c r="K367" s="51">
        <f ca="1">Poisson!D84</f>
        <v>1</v>
      </c>
    </row>
    <row r="368" spans="11:11" x14ac:dyDescent="0.25">
      <c r="K368" s="51">
        <f ca="1">Poisson!D85</f>
        <v>0</v>
      </c>
    </row>
    <row r="369" spans="11:11" x14ac:dyDescent="0.25">
      <c r="K369" s="51">
        <f ca="1">Poisson!D86</f>
        <v>0</v>
      </c>
    </row>
    <row r="370" spans="11:11" x14ac:dyDescent="0.25">
      <c r="K370" s="51">
        <f ca="1">Poisson!D87</f>
        <v>4</v>
      </c>
    </row>
    <row r="371" spans="11:11" x14ac:dyDescent="0.25">
      <c r="K371" s="51">
        <f ca="1">Poisson!D88</f>
        <v>3</v>
      </c>
    </row>
    <row r="372" spans="11:11" x14ac:dyDescent="0.25">
      <c r="K372" s="51">
        <f ca="1">Poisson!D89</f>
        <v>1</v>
      </c>
    </row>
    <row r="373" spans="11:11" x14ac:dyDescent="0.25">
      <c r="K373" s="51">
        <f ca="1">Poisson!D90</f>
        <v>5</v>
      </c>
    </row>
    <row r="374" spans="11:11" x14ac:dyDescent="0.25">
      <c r="K374" s="51">
        <f ca="1">Poisson!D91</f>
        <v>1</v>
      </c>
    </row>
    <row r="375" spans="11:11" x14ac:dyDescent="0.25">
      <c r="K375" s="51">
        <f ca="1">Poisson!D92</f>
        <v>0</v>
      </c>
    </row>
    <row r="376" spans="11:11" x14ac:dyDescent="0.25">
      <c r="K376" s="51">
        <f ca="1">Poisson!D93</f>
        <v>4</v>
      </c>
    </row>
    <row r="377" spans="11:11" x14ac:dyDescent="0.25">
      <c r="K377" s="51">
        <f ca="1">Poisson!D94</f>
        <v>1</v>
      </c>
    </row>
    <row r="378" spans="11:11" x14ac:dyDescent="0.25">
      <c r="K378" s="51">
        <f ca="1">Poisson!D95</f>
        <v>0</v>
      </c>
    </row>
    <row r="379" spans="11:11" x14ac:dyDescent="0.25">
      <c r="K379" s="51">
        <f ca="1">Poisson!D96</f>
        <v>0</v>
      </c>
    </row>
    <row r="380" spans="11:11" x14ac:dyDescent="0.25">
      <c r="K380" s="51">
        <f ca="1">Poisson!D97</f>
        <v>0</v>
      </c>
    </row>
    <row r="381" spans="11:11" x14ac:dyDescent="0.25">
      <c r="K381" s="51">
        <f ca="1">Poisson!D98</f>
        <v>1</v>
      </c>
    </row>
    <row r="382" spans="11:11" x14ac:dyDescent="0.25">
      <c r="K382" s="51">
        <f ca="1">Poisson!D99</f>
        <v>1</v>
      </c>
    </row>
    <row r="383" spans="11:11" x14ac:dyDescent="0.25">
      <c r="K383" s="51">
        <f ca="1">Poisson!D100</f>
        <v>2</v>
      </c>
    </row>
    <row r="384" spans="11:11" x14ac:dyDescent="0.25">
      <c r="K384" s="51">
        <f ca="1">Poisson!D101</f>
        <v>2</v>
      </c>
    </row>
    <row r="385" spans="11:11" x14ac:dyDescent="0.25">
      <c r="K385" s="51">
        <f ca="1">Poisson!D102</f>
        <v>2</v>
      </c>
    </row>
    <row r="386" spans="11:11" x14ac:dyDescent="0.25">
      <c r="K386" s="51">
        <f ca="1">Poisson!D103</f>
        <v>1</v>
      </c>
    </row>
    <row r="387" spans="11:11" x14ac:dyDescent="0.25">
      <c r="K387" s="51">
        <f ca="1">Poisson!D104</f>
        <v>2</v>
      </c>
    </row>
    <row r="388" spans="11:11" x14ac:dyDescent="0.25">
      <c r="K388" s="51">
        <f ca="1">Poisson!D105</f>
        <v>0</v>
      </c>
    </row>
    <row r="389" spans="11:11" x14ac:dyDescent="0.25">
      <c r="K389" s="51">
        <f ca="1">Poisson!D106</f>
        <v>0</v>
      </c>
    </row>
    <row r="390" spans="11:11" x14ac:dyDescent="0.25">
      <c r="K390" s="51">
        <f ca="1">Poisson!D107</f>
        <v>1</v>
      </c>
    </row>
    <row r="391" spans="11:11" x14ac:dyDescent="0.25">
      <c r="K391" s="51">
        <f ca="1">Poisson!D108</f>
        <v>1</v>
      </c>
    </row>
    <row r="392" spans="11:11" x14ac:dyDescent="0.25">
      <c r="K392" s="51">
        <f ca="1">Poisson!D109</f>
        <v>4</v>
      </c>
    </row>
    <row r="393" spans="11:11" x14ac:dyDescent="0.25">
      <c r="K393" s="51">
        <f ca="1">Poisson!D110</f>
        <v>1</v>
      </c>
    </row>
    <row r="394" spans="11:11" x14ac:dyDescent="0.25">
      <c r="K394" s="51">
        <f ca="1">Poisson!D111</f>
        <v>0</v>
      </c>
    </row>
    <row r="395" spans="11:11" x14ac:dyDescent="0.25">
      <c r="K395" s="51">
        <f ca="1">Poisson!D112</f>
        <v>0</v>
      </c>
    </row>
    <row r="396" spans="11:11" x14ac:dyDescent="0.25">
      <c r="K396" s="51">
        <f ca="1">Poisson!D113</f>
        <v>3</v>
      </c>
    </row>
    <row r="397" spans="11:11" x14ac:dyDescent="0.25">
      <c r="K397" s="51">
        <f ca="1">Poisson!D114</f>
        <v>0</v>
      </c>
    </row>
    <row r="398" spans="11:11" x14ac:dyDescent="0.25">
      <c r="K398" s="51">
        <f ca="1">Poisson!D115</f>
        <v>0</v>
      </c>
    </row>
    <row r="399" spans="11:11" x14ac:dyDescent="0.25">
      <c r="K399" s="51">
        <f ca="1">Poisson!D116</f>
        <v>1</v>
      </c>
    </row>
    <row r="400" spans="11:11" x14ac:dyDescent="0.25">
      <c r="K400" s="51">
        <f ca="1">Poisson!D117</f>
        <v>0</v>
      </c>
    </row>
    <row r="401" spans="11:11" x14ac:dyDescent="0.25">
      <c r="K401" s="51">
        <f ca="1">Poisson!D118</f>
        <v>1</v>
      </c>
    </row>
    <row r="402" spans="11:11" x14ac:dyDescent="0.25">
      <c r="K402" s="51">
        <f ca="1">Poisson!D119</f>
        <v>3</v>
      </c>
    </row>
    <row r="403" spans="11:11" x14ac:dyDescent="0.25">
      <c r="K403" s="51">
        <f ca="1">Poisson!D120</f>
        <v>3</v>
      </c>
    </row>
    <row r="404" spans="11:11" x14ac:dyDescent="0.25">
      <c r="K404" s="51">
        <f ca="1">Poisson!D121</f>
        <v>1</v>
      </c>
    </row>
    <row r="405" spans="11:11" x14ac:dyDescent="0.25">
      <c r="K405" s="51">
        <f ca="1">Poisson!D122</f>
        <v>0</v>
      </c>
    </row>
    <row r="406" spans="11:11" x14ac:dyDescent="0.25">
      <c r="K406" s="51">
        <f ca="1">Poisson!D123</f>
        <v>0</v>
      </c>
    </row>
    <row r="407" spans="11:11" x14ac:dyDescent="0.25">
      <c r="K407" s="51">
        <f ca="1">Poisson!D124</f>
        <v>2</v>
      </c>
    </row>
    <row r="408" spans="11:11" x14ac:dyDescent="0.25">
      <c r="K408" s="51">
        <f ca="1">Poisson!D125</f>
        <v>2</v>
      </c>
    </row>
    <row r="409" spans="11:11" x14ac:dyDescent="0.25">
      <c r="K409" s="51">
        <f ca="1">Poisson!D126</f>
        <v>3</v>
      </c>
    </row>
    <row r="410" spans="11:11" x14ac:dyDescent="0.25">
      <c r="K410" s="51">
        <f ca="1">Poisson!D127</f>
        <v>3</v>
      </c>
    </row>
    <row r="411" spans="11:11" x14ac:dyDescent="0.25">
      <c r="K411" s="51">
        <f ca="1">Poisson!D128</f>
        <v>0</v>
      </c>
    </row>
    <row r="412" spans="11:11" x14ac:dyDescent="0.25">
      <c r="K412" s="51">
        <f ca="1">Poisson!D129</f>
        <v>1</v>
      </c>
    </row>
    <row r="413" spans="11:11" x14ac:dyDescent="0.25">
      <c r="K413" s="51">
        <f ca="1">Poisson!D130</f>
        <v>2</v>
      </c>
    </row>
    <row r="414" spans="11:11" x14ac:dyDescent="0.25">
      <c r="K414" s="51">
        <f ca="1">Poisson!D131</f>
        <v>0</v>
      </c>
    </row>
    <row r="415" spans="11:11" x14ac:dyDescent="0.25">
      <c r="K415" s="51">
        <f ca="1">Poisson!D132</f>
        <v>4</v>
      </c>
    </row>
    <row r="416" spans="11:11" x14ac:dyDescent="0.25">
      <c r="K416" s="51">
        <f ca="1">Poisson!D133</f>
        <v>2</v>
      </c>
    </row>
    <row r="417" spans="1:16" x14ac:dyDescent="0.25">
      <c r="K417" s="51"/>
    </row>
    <row r="418" spans="1:16" x14ac:dyDescent="0.25">
      <c r="A418" s="6" t="s">
        <v>148</v>
      </c>
      <c r="B418" s="6"/>
      <c r="C418" s="6"/>
      <c r="D418" s="6" t="s">
        <v>149</v>
      </c>
      <c r="E418" s="6" t="s">
        <v>150</v>
      </c>
      <c r="F418" s="6" t="s">
        <v>151</v>
      </c>
      <c r="G418" s="6" t="s">
        <v>152</v>
      </c>
      <c r="H418" s="6" t="s">
        <v>39</v>
      </c>
      <c r="I418" s="6"/>
      <c r="J418" s="6"/>
      <c r="K418" s="6">
        <f>Normal!D440</f>
        <v>0</v>
      </c>
      <c r="L418" s="6"/>
      <c r="M418" s="6"/>
      <c r="N418" s="6"/>
      <c r="O418" s="6"/>
    </row>
    <row r="419" spans="1:16" x14ac:dyDescent="0.25">
      <c r="A419" t="s">
        <v>24</v>
      </c>
      <c r="B419" s="42">
        <f>Gamma!D20</f>
        <v>1.6638888888888891E-4</v>
      </c>
      <c r="D419">
        <v>1</v>
      </c>
      <c r="E419" s="25">
        <v>0</v>
      </c>
      <c r="F419" t="e">
        <f>GAMMADIST(E419,$B$425,1/$B$426,0)</f>
        <v>#NUM!</v>
      </c>
      <c r="G419" t="e">
        <f>IF(OR($E419&gt;$B$422,$E419&lt;$B$421),NA(),$F419)</f>
        <v>#NUM!</v>
      </c>
      <c r="H419">
        <f>GAMMADIST(E419,$B$425,1/$B$426,1)</f>
        <v>0</v>
      </c>
      <c r="I419">
        <f>IF(OR($E419&gt;$B$422,$E419&lt;$B$421),NA(),$H419)</f>
        <v>0</v>
      </c>
      <c r="K419" s="44">
        <f ca="1">Gamma!D33</f>
        <v>3.665811827002486E-24</v>
      </c>
      <c r="L419" t="s">
        <v>28</v>
      </c>
      <c r="M419" s="42">
        <f ca="1">MIN(K419:K518)</f>
        <v>5.3198914834291436E-41</v>
      </c>
    </row>
    <row r="420" spans="1:16" x14ac:dyDescent="0.25">
      <c r="A420" t="s">
        <v>25</v>
      </c>
      <c r="B420">
        <f>Gamma!D21</f>
        <v>6.4820827041979999E-4</v>
      </c>
      <c r="D420">
        <v>2</v>
      </c>
      <c r="E420" s="25">
        <f>($B$424-$B$423)/99+E419</f>
        <v>3.2545163792717631E-5</v>
      </c>
      <c r="F420">
        <f t="shared" ref="F420:F483" si="48">GAMMADIST(E420,$B$425,1/$B$426,0)</f>
        <v>1553.2097452413129</v>
      </c>
      <c r="G420">
        <f t="shared" ref="G420:G483" si="49">IF(OR($E420&gt;$B$422,$E420&lt;$B$421),NA(),$F420)</f>
        <v>1553.2097452413129</v>
      </c>
      <c r="H420">
        <f t="shared" ref="H420:H483" si="50">GAMMADIST(E420,$B$425,1/$B$426,1)</f>
        <v>0.77651385762658165</v>
      </c>
      <c r="I420">
        <f t="shared" ref="I420:I483" si="51">IF(OR($E420&gt;$B$422,$E420&lt;$B$421),NA(),$H420)</f>
        <v>0.77651385762658165</v>
      </c>
      <c r="K420" s="44">
        <f ca="1">Gamma!D34</f>
        <v>1.6507032176550849E-4</v>
      </c>
      <c r="L420" t="s">
        <v>29</v>
      </c>
      <c r="M420" s="42">
        <f ca="1">MAX(K419:K518)</f>
        <v>4.1085038613687926E-3</v>
      </c>
    </row>
    <row r="421" spans="1:16" x14ac:dyDescent="0.25">
      <c r="A421" t="s">
        <v>26</v>
      </c>
      <c r="B421">
        <f>Gamma!D12</f>
        <v>0</v>
      </c>
      <c r="D421">
        <v>3</v>
      </c>
      <c r="E421" s="25">
        <f t="shared" ref="E421:E484" si="52">($B$424-$B$423)/99+E420</f>
        <v>6.5090327585435261E-5</v>
      </c>
      <c r="F421">
        <f t="shared" si="48"/>
        <v>802.4866942092716</v>
      </c>
      <c r="G421">
        <f t="shared" si="49"/>
        <v>802.4866942092716</v>
      </c>
      <c r="H421">
        <f t="shared" si="50"/>
        <v>0.81215907152201572</v>
      </c>
      <c r="I421">
        <f t="shared" si="51"/>
        <v>0.81215907152201572</v>
      </c>
      <c r="K421" s="44">
        <f ca="1">Gamma!D35</f>
        <v>1.4616067771977774E-10</v>
      </c>
    </row>
    <row r="422" spans="1:16" x14ac:dyDescent="0.25">
      <c r="A422" t="s">
        <v>27</v>
      </c>
      <c r="B422">
        <f>Gamma!D13</f>
        <v>0.5</v>
      </c>
      <c r="D422">
        <v>4</v>
      </c>
      <c r="E422" s="25">
        <f t="shared" si="52"/>
        <v>9.7635491378152898E-5</v>
      </c>
      <c r="F422">
        <f t="shared" si="48"/>
        <v>542.44048669124697</v>
      </c>
      <c r="G422">
        <f t="shared" si="49"/>
        <v>542.44048669124697</v>
      </c>
      <c r="H422">
        <f t="shared" si="50"/>
        <v>0.83349456205419081</v>
      </c>
      <c r="I422">
        <f t="shared" si="51"/>
        <v>0.83349456205419081</v>
      </c>
      <c r="K422" s="44">
        <f ca="1">Gamma!D36</f>
        <v>4.8571496062615137E-4</v>
      </c>
      <c r="M422" t="s">
        <v>53</v>
      </c>
      <c r="N422" t="s">
        <v>54</v>
      </c>
    </row>
    <row r="423" spans="1:16" x14ac:dyDescent="0.25">
      <c r="A423" t="s">
        <v>28</v>
      </c>
      <c r="B423">
        <f>GAMMAINV(0.01, Gamma!C5,1/Gamma!C6)</f>
        <v>6.619352724928611E-34</v>
      </c>
      <c r="D423">
        <v>5</v>
      </c>
      <c r="E423" s="25">
        <f t="shared" si="52"/>
        <v>1.3018065517087052E-4</v>
      </c>
      <c r="F423">
        <f t="shared" si="48"/>
        <v>409.30630670142403</v>
      </c>
      <c r="G423">
        <f t="shared" si="49"/>
        <v>409.30630670142403</v>
      </c>
      <c r="H423">
        <f t="shared" si="50"/>
        <v>0.84878165205453071</v>
      </c>
      <c r="I423">
        <f t="shared" si="51"/>
        <v>0.84878165205453071</v>
      </c>
      <c r="K423" s="44">
        <f ca="1">Gamma!D37</f>
        <v>2.8162074938666948E-8</v>
      </c>
      <c r="L423">
        <v>1</v>
      </c>
      <c r="M423">
        <f ca="1">M419</f>
        <v>5.3198914834291436E-41</v>
      </c>
      <c r="N423">
        <f ca="1">O423</f>
        <v>90</v>
      </c>
      <c r="O423">
        <f ca="1">COUNTIF($K$419:$K$518,"&lt;"&amp;M424)</f>
        <v>90</v>
      </c>
      <c r="P423">
        <f ca="1">M423</f>
        <v>5.3198914834291436E-41</v>
      </c>
    </row>
    <row r="424" spans="1:16" x14ac:dyDescent="0.25">
      <c r="A424" t="s">
        <v>29</v>
      </c>
      <c r="B424">
        <f>GAMMAINV(0.99, Gamma!C5,1/Gamma!C6)</f>
        <v>3.2219712154790453E-3</v>
      </c>
      <c r="D424">
        <v>6</v>
      </c>
      <c r="E424" s="25">
        <f t="shared" si="52"/>
        <v>1.6272581896358815E-4</v>
      </c>
      <c r="F424">
        <f t="shared" si="48"/>
        <v>328.03991213030037</v>
      </c>
      <c r="G424">
        <f t="shared" si="49"/>
        <v>328.03991213030037</v>
      </c>
      <c r="H424">
        <f t="shared" si="50"/>
        <v>0.86068522721844332</v>
      </c>
      <c r="I424">
        <f t="shared" si="51"/>
        <v>0.86068522721844332</v>
      </c>
      <c r="K424" s="44">
        <f ca="1">Gamma!D38</f>
        <v>9.8622677054166872E-8</v>
      </c>
      <c r="L424">
        <v>2</v>
      </c>
      <c r="M424">
        <f ca="1">M423+($M$420-$M$419)/7</f>
        <v>5.8692912305268461E-4</v>
      </c>
      <c r="N424">
        <f t="shared" ref="N424:N429" ca="1" si="53">O424-O423</f>
        <v>6</v>
      </c>
      <c r="O424">
        <f t="shared" ref="O424:O429" ca="1" si="54">COUNTIF($K$419:$K$518,"&lt;"&amp;M425)</f>
        <v>96</v>
      </c>
    </row>
    <row r="425" spans="1:16" x14ac:dyDescent="0.25">
      <c r="A425" t="s">
        <v>75</v>
      </c>
      <c r="B425">
        <f>Gamma!C5</f>
        <v>6.5890000000000004E-2</v>
      </c>
      <c r="D425">
        <v>7</v>
      </c>
      <c r="E425" s="25">
        <f t="shared" si="52"/>
        <v>1.9527098275630577E-4</v>
      </c>
      <c r="F425">
        <f t="shared" si="48"/>
        <v>273.12757945298074</v>
      </c>
      <c r="G425">
        <f t="shared" si="49"/>
        <v>273.12757945298074</v>
      </c>
      <c r="H425">
        <f t="shared" si="50"/>
        <v>0.87041530336327677</v>
      </c>
      <c r="I425">
        <f t="shared" si="51"/>
        <v>0.87041530336327677</v>
      </c>
      <c r="K425" s="44">
        <f ca="1">Gamma!D39</f>
        <v>2.9837362775844842E-5</v>
      </c>
      <c r="L425">
        <v>3</v>
      </c>
      <c r="M425">
        <f t="shared" ref="M425:M430" ca="1" si="55">M424+($M$420-$M$419)/7</f>
        <v>1.1738582461053692E-3</v>
      </c>
      <c r="N425">
        <f t="shared" ca="1" si="53"/>
        <v>1</v>
      </c>
      <c r="O425">
        <f t="shared" ca="1" si="54"/>
        <v>97</v>
      </c>
    </row>
    <row r="426" spans="1:16" x14ac:dyDescent="0.25">
      <c r="A426" t="s">
        <v>76</v>
      </c>
      <c r="B426">
        <f>Gamma!C6</f>
        <v>396</v>
      </c>
      <c r="D426">
        <v>8</v>
      </c>
      <c r="E426" s="25">
        <f t="shared" si="52"/>
        <v>2.2781614654902339E-4</v>
      </c>
      <c r="F426">
        <f t="shared" si="48"/>
        <v>233.4708975617302</v>
      </c>
      <c r="G426">
        <f t="shared" si="49"/>
        <v>233.4708975617302</v>
      </c>
      <c r="H426">
        <f t="shared" si="50"/>
        <v>0.87862690198102833</v>
      </c>
      <c r="I426">
        <f t="shared" si="51"/>
        <v>0.87862690198102833</v>
      </c>
      <c r="K426" s="44">
        <f ca="1">Gamma!D40</f>
        <v>2.4369432270024412E-9</v>
      </c>
      <c r="L426">
        <v>4</v>
      </c>
      <c r="M426">
        <f t="shared" ca="1" si="55"/>
        <v>1.7607873691580537E-3</v>
      </c>
      <c r="N426">
        <f t="shared" ca="1" si="53"/>
        <v>1</v>
      </c>
      <c r="O426">
        <f t="shared" ca="1" si="54"/>
        <v>98</v>
      </c>
      <c r="P426">
        <f ca="1">M426</f>
        <v>1.7607873691580537E-3</v>
      </c>
    </row>
    <row r="427" spans="1:16" x14ac:dyDescent="0.25">
      <c r="D427">
        <v>9</v>
      </c>
      <c r="E427" s="25">
        <f t="shared" si="52"/>
        <v>2.6036131034174104E-4</v>
      </c>
      <c r="F427">
        <f t="shared" si="48"/>
        <v>203.45330917315118</v>
      </c>
      <c r="G427">
        <f t="shared" si="49"/>
        <v>203.45330917315118</v>
      </c>
      <c r="H427">
        <f t="shared" si="50"/>
        <v>0.88571574201450876</v>
      </c>
      <c r="I427">
        <f t="shared" si="51"/>
        <v>0.88571574201450876</v>
      </c>
      <c r="K427" s="44">
        <f ca="1">Gamma!D41</f>
        <v>2.0844088725595595E-5</v>
      </c>
      <c r="L427">
        <v>5</v>
      </c>
      <c r="M427">
        <f t="shared" ca="1" si="55"/>
        <v>2.3477164922107384E-3</v>
      </c>
      <c r="N427">
        <f t="shared" ca="1" si="53"/>
        <v>0</v>
      </c>
      <c r="O427">
        <f t="shared" ca="1" si="54"/>
        <v>98</v>
      </c>
    </row>
    <row r="428" spans="1:16" x14ac:dyDescent="0.25">
      <c r="D428">
        <v>10</v>
      </c>
      <c r="E428" s="25">
        <f t="shared" si="52"/>
        <v>2.929064741344587E-4</v>
      </c>
      <c r="F428">
        <f t="shared" si="48"/>
        <v>179.92252531276466</v>
      </c>
      <c r="G428">
        <f t="shared" si="49"/>
        <v>179.92252531276466</v>
      </c>
      <c r="H428">
        <f t="shared" si="50"/>
        <v>0.89193969067473855</v>
      </c>
      <c r="I428">
        <f t="shared" si="51"/>
        <v>0.89193969067473855</v>
      </c>
      <c r="K428" s="44">
        <f ca="1">Gamma!D42</f>
        <v>1.0582895065971797E-9</v>
      </c>
      <c r="L428">
        <v>6</v>
      </c>
      <c r="M428">
        <f t="shared" ca="1" si="55"/>
        <v>2.9346456152634232E-3</v>
      </c>
      <c r="N428">
        <f t="shared" ca="1" si="53"/>
        <v>0</v>
      </c>
      <c r="O428">
        <f t="shared" ca="1" si="54"/>
        <v>98</v>
      </c>
    </row>
    <row r="429" spans="1:16" x14ac:dyDescent="0.25">
      <c r="D429">
        <v>11</v>
      </c>
      <c r="E429" s="25">
        <f t="shared" si="52"/>
        <v>3.2545163792717635E-4</v>
      </c>
      <c r="F429">
        <f t="shared" si="48"/>
        <v>160.97034366243861</v>
      </c>
      <c r="G429">
        <f t="shared" si="49"/>
        <v>160.97034366243861</v>
      </c>
      <c r="H429">
        <f t="shared" si="50"/>
        <v>0.89747639181952688</v>
      </c>
      <c r="I429">
        <f t="shared" si="51"/>
        <v>0.89747639181952688</v>
      </c>
      <c r="K429" s="44">
        <f ca="1">Gamma!D43</f>
        <v>1.6938097087440389E-6</v>
      </c>
      <c r="L429">
        <v>7</v>
      </c>
      <c r="M429">
        <f t="shared" ca="1" si="55"/>
        <v>3.5215747383161079E-3</v>
      </c>
      <c r="N429">
        <f t="shared" ca="1" si="53"/>
        <v>1</v>
      </c>
      <c r="O429">
        <f t="shared" ca="1" si="54"/>
        <v>99</v>
      </c>
      <c r="P429">
        <f ca="1">M430</f>
        <v>4.1085038613687926E-3</v>
      </c>
    </row>
    <row r="430" spans="1:16" x14ac:dyDescent="0.25">
      <c r="D430">
        <v>12</v>
      </c>
      <c r="E430" s="25">
        <f t="shared" si="52"/>
        <v>3.57996801719894E-4</v>
      </c>
      <c r="F430">
        <f t="shared" si="48"/>
        <v>145.37288617640215</v>
      </c>
      <c r="G430">
        <f t="shared" si="49"/>
        <v>145.37288617640215</v>
      </c>
      <c r="H430">
        <f t="shared" si="50"/>
        <v>0.90245355607824551</v>
      </c>
      <c r="I430">
        <f t="shared" si="51"/>
        <v>0.90245355607824551</v>
      </c>
      <c r="K430" s="44">
        <f ca="1">Gamma!D44</f>
        <v>1.2844965578360772E-14</v>
      </c>
      <c r="L430">
        <v>8</v>
      </c>
      <c r="M430">
        <f t="shared" ca="1" si="55"/>
        <v>4.1085038613687926E-3</v>
      </c>
    </row>
    <row r="431" spans="1:16" x14ac:dyDescent="0.25">
      <c r="D431">
        <v>13</v>
      </c>
      <c r="E431" s="25">
        <f t="shared" si="52"/>
        <v>3.9054196551261165E-4</v>
      </c>
      <c r="F431">
        <f t="shared" si="48"/>
        <v>132.30845647631352</v>
      </c>
      <c r="G431">
        <f t="shared" si="49"/>
        <v>132.30845647631352</v>
      </c>
      <c r="H431">
        <f t="shared" si="50"/>
        <v>0.90696615237173162</v>
      </c>
      <c r="I431">
        <f t="shared" si="51"/>
        <v>0.90696615237173162</v>
      </c>
      <c r="K431" s="44">
        <f ca="1">Gamma!D45</f>
        <v>7.138102528864254E-19</v>
      </c>
    </row>
    <row r="432" spans="1:16" x14ac:dyDescent="0.25">
      <c r="D432">
        <v>14</v>
      </c>
      <c r="E432" s="25">
        <f t="shared" si="52"/>
        <v>4.230871293053293E-4</v>
      </c>
      <c r="F432">
        <f t="shared" si="48"/>
        <v>121.20452519074291</v>
      </c>
      <c r="G432">
        <f t="shared" si="49"/>
        <v>121.20452519074291</v>
      </c>
      <c r="H432">
        <f t="shared" si="50"/>
        <v>0.91108676823493329</v>
      </c>
      <c r="I432">
        <f t="shared" si="51"/>
        <v>0.91108676823493329</v>
      </c>
      <c r="K432" s="44">
        <f ca="1">Gamma!D46</f>
        <v>1.024133195455962E-6</v>
      </c>
    </row>
    <row r="433" spans="4:15" x14ac:dyDescent="0.25">
      <c r="D433">
        <v>15</v>
      </c>
      <c r="E433" s="25">
        <f t="shared" si="52"/>
        <v>4.5563229309804695E-4</v>
      </c>
      <c r="F433">
        <f t="shared" si="48"/>
        <v>111.64972628800587</v>
      </c>
      <c r="G433">
        <f t="shared" si="49"/>
        <v>111.64972628800587</v>
      </c>
      <c r="H433">
        <f t="shared" si="50"/>
        <v>0.91487216194551224</v>
      </c>
      <c r="I433">
        <f t="shared" si="51"/>
        <v>0.91487216194551224</v>
      </c>
      <c r="K433" s="44">
        <f ca="1">Gamma!D47</f>
        <v>1.2940001640085271E-4</v>
      </c>
    </row>
    <row r="434" spans="4:15" x14ac:dyDescent="0.25">
      <c r="D434">
        <v>16</v>
      </c>
      <c r="E434" s="25">
        <f t="shared" si="52"/>
        <v>4.881774568907646E-4</v>
      </c>
      <c r="F434">
        <f t="shared" si="48"/>
        <v>103.34074279606476</v>
      </c>
      <c r="G434">
        <f t="shared" si="49"/>
        <v>103.34074279606476</v>
      </c>
      <c r="H434">
        <f t="shared" si="50"/>
        <v>0.9183675740610745</v>
      </c>
      <c r="I434">
        <f t="shared" si="51"/>
        <v>0.9183675740610745</v>
      </c>
      <c r="K434" s="44">
        <f ca="1">Gamma!D48</f>
        <v>5.3997575755401552E-19</v>
      </c>
      <c r="N434">
        <f ca="1">SUM(N423:N432)</f>
        <v>99</v>
      </c>
      <c r="O434">
        <f ca="1">SUM(O423:O432)</f>
        <v>676</v>
      </c>
    </row>
    <row r="435" spans="4:15" x14ac:dyDescent="0.25">
      <c r="D435">
        <v>17</v>
      </c>
      <c r="E435" s="25">
        <f t="shared" si="52"/>
        <v>5.207226206834822E-4</v>
      </c>
      <c r="F435">
        <f t="shared" si="48"/>
        <v>96.048929880464314</v>
      </c>
      <c r="G435">
        <f t="shared" si="49"/>
        <v>96.048929880464314</v>
      </c>
      <c r="H435">
        <f t="shared" si="50"/>
        <v>0.92160966055162452</v>
      </c>
      <c r="I435">
        <f t="shared" si="51"/>
        <v>0.92160966055162452</v>
      </c>
      <c r="K435" s="44">
        <f ca="1">Gamma!D49</f>
        <v>5.7268223994338822E-7</v>
      </c>
    </row>
    <row r="436" spans="4:15" x14ac:dyDescent="0.25">
      <c r="D436">
        <v>18</v>
      </c>
      <c r="E436" s="25">
        <f t="shared" si="52"/>
        <v>5.5326778447619979E-4</v>
      </c>
      <c r="F436">
        <f t="shared" si="48"/>
        <v>89.598609199184878</v>
      </c>
      <c r="G436">
        <f t="shared" si="49"/>
        <v>89.598609199184878</v>
      </c>
      <c r="H436">
        <f t="shared" si="50"/>
        <v>0.92462854549862716</v>
      </c>
      <c r="I436">
        <f t="shared" si="51"/>
        <v>0.92462854549862716</v>
      </c>
      <c r="K436" s="44">
        <f ca="1">Gamma!D50</f>
        <v>1.6666505340936341E-13</v>
      </c>
    </row>
    <row r="437" spans="4:15" x14ac:dyDescent="0.25">
      <c r="D437">
        <v>19</v>
      </c>
      <c r="E437" s="25">
        <f t="shared" si="52"/>
        <v>5.8581294826891739E-4</v>
      </c>
      <c r="F437">
        <f t="shared" si="48"/>
        <v>83.852530500940404</v>
      </c>
      <c r="G437">
        <f t="shared" si="49"/>
        <v>83.852530500940404</v>
      </c>
      <c r="H437">
        <f t="shared" si="50"/>
        <v>0.92744929310670177</v>
      </c>
      <c r="I437">
        <f t="shared" si="51"/>
        <v>0.92744929310670177</v>
      </c>
      <c r="K437" s="44">
        <f ca="1">Gamma!D51</f>
        <v>7.8481025645327316E-5</v>
      </c>
    </row>
    <row r="438" spans="4:15" x14ac:dyDescent="0.25">
      <c r="D438">
        <v>20</v>
      </c>
      <c r="E438" s="25">
        <f t="shared" si="52"/>
        <v>6.1835811206163499E-4</v>
      </c>
      <c r="F438">
        <f t="shared" si="48"/>
        <v>78.70188050937665</v>
      </c>
      <c r="G438">
        <f t="shared" si="49"/>
        <v>78.70188050937665</v>
      </c>
      <c r="H438">
        <f t="shared" si="50"/>
        <v>0.93009298595904411</v>
      </c>
      <c r="I438">
        <f t="shared" si="51"/>
        <v>0.93009298595904411</v>
      </c>
      <c r="K438" s="44">
        <f ca="1">Gamma!D52</f>
        <v>2.3027536585574441E-3</v>
      </c>
    </row>
    <row r="439" spans="4:15" x14ac:dyDescent="0.25">
      <c r="D439">
        <v>21</v>
      </c>
      <c r="E439" s="25">
        <f t="shared" si="52"/>
        <v>6.5090327585435258E-4</v>
      </c>
      <c r="F439">
        <f t="shared" si="48"/>
        <v>74.059260160996303</v>
      </c>
      <c r="G439">
        <f t="shared" si="49"/>
        <v>74.059260160996303</v>
      </c>
      <c r="H439">
        <f t="shared" si="50"/>
        <v>0.93257752972785846</v>
      </c>
      <c r="I439">
        <f t="shared" si="51"/>
        <v>0.93257752972785846</v>
      </c>
      <c r="K439" s="44">
        <f ca="1">Gamma!D53</f>
        <v>6.4429170031251946E-12</v>
      </c>
    </row>
    <row r="440" spans="4:15" x14ac:dyDescent="0.25">
      <c r="D440">
        <v>22</v>
      </c>
      <c r="E440" s="25">
        <f t="shared" si="52"/>
        <v>6.8344843964707018E-4</v>
      </c>
      <c r="F440">
        <f t="shared" si="48"/>
        <v>69.853648702624255</v>
      </c>
      <c r="G440">
        <f t="shared" si="49"/>
        <v>69.853648702624255</v>
      </c>
      <c r="H440">
        <f t="shared" si="50"/>
        <v>0.93491826375234166</v>
      </c>
      <c r="I440">
        <f t="shared" si="51"/>
        <v>0.93491826375234166</v>
      </c>
      <c r="K440" s="44">
        <f ca="1">Gamma!D54</f>
        <v>5.1844027077119971E-11</v>
      </c>
    </row>
    <row r="441" spans="4:15" x14ac:dyDescent="0.25">
      <c r="D441">
        <v>23</v>
      </c>
      <c r="E441" s="25">
        <f t="shared" si="52"/>
        <v>7.1599360343978778E-4</v>
      </c>
      <c r="F441">
        <f t="shared" si="48"/>
        <v>66.02672761604282</v>
      </c>
      <c r="G441">
        <f t="shared" si="49"/>
        <v>66.02672761604282</v>
      </c>
      <c r="H441">
        <f t="shared" si="50"/>
        <v>0.93712843120621858</v>
      </c>
      <c r="I441">
        <f t="shared" si="51"/>
        <v>0.93712843120621858</v>
      </c>
      <c r="K441" s="44">
        <f ca="1">Gamma!D55</f>
        <v>8.5974633830928531E-4</v>
      </c>
    </row>
    <row r="442" spans="4:15" x14ac:dyDescent="0.25">
      <c r="D442">
        <v>24</v>
      </c>
      <c r="E442" s="25">
        <f t="shared" si="52"/>
        <v>7.4853876723250537E-4</v>
      </c>
      <c r="F442">
        <f t="shared" si="48"/>
        <v>62.530153921158366</v>
      </c>
      <c r="G442">
        <f t="shared" si="49"/>
        <v>62.530153921158366</v>
      </c>
      <c r="H442">
        <f t="shared" si="50"/>
        <v>0.93921954597425372</v>
      </c>
      <c r="I442">
        <f t="shared" si="51"/>
        <v>0.93921954597425372</v>
      </c>
      <c r="K442" s="44">
        <f ca="1">Gamma!D56</f>
        <v>9.6830145433900511E-5</v>
      </c>
    </row>
    <row r="443" spans="4:15" x14ac:dyDescent="0.25">
      <c r="D443">
        <v>25</v>
      </c>
      <c r="E443" s="25">
        <f t="shared" si="52"/>
        <v>7.8108393102522297E-4</v>
      </c>
      <c r="F443">
        <f t="shared" si="48"/>
        <v>59.323508263431862</v>
      </c>
      <c r="G443">
        <f t="shared" si="49"/>
        <v>59.323508263431862</v>
      </c>
      <c r="H443">
        <f t="shared" si="50"/>
        <v>0.94120168237632029</v>
      </c>
      <c r="I443">
        <f t="shared" si="51"/>
        <v>0.94120168237632029</v>
      </c>
      <c r="K443" s="44">
        <f ca="1">Gamma!D57</f>
        <v>2.2719610594963915E-21</v>
      </c>
    </row>
    <row r="444" spans="4:15" x14ac:dyDescent="0.25">
      <c r="D444">
        <v>26</v>
      </c>
      <c r="E444" s="25">
        <f t="shared" si="52"/>
        <v>8.1362909481794057E-4</v>
      </c>
      <c r="F444">
        <f t="shared" si="48"/>
        <v>56.372730436692493</v>
      </c>
      <c r="G444">
        <f t="shared" si="49"/>
        <v>56.372730436692493</v>
      </c>
      <c r="H444">
        <f t="shared" si="50"/>
        <v>0.9430837064623625</v>
      </c>
      <c r="I444">
        <f t="shared" si="51"/>
        <v>0.9430837064623625</v>
      </c>
      <c r="K444" s="44">
        <f ca="1">Gamma!D58</f>
        <v>1.2103955627028352E-3</v>
      </c>
    </row>
    <row r="445" spans="4:15" x14ac:dyDescent="0.25">
      <c r="D445">
        <v>27</v>
      </c>
      <c r="E445" s="25">
        <f t="shared" si="52"/>
        <v>8.4617425861065816E-4</v>
      </c>
      <c r="F445">
        <f t="shared" si="48"/>
        <v>53.648912224070443</v>
      </c>
      <c r="G445">
        <f t="shared" si="49"/>
        <v>53.648912224070443</v>
      </c>
      <c r="H445">
        <f t="shared" si="50"/>
        <v>0.94487346249924808</v>
      </c>
      <c r="I445">
        <f t="shared" si="51"/>
        <v>0.94487346249924808</v>
      </c>
      <c r="K445" s="44">
        <f ca="1">Gamma!D59</f>
        <v>1.0935340851887555E-7</v>
      </c>
    </row>
    <row r="446" spans="4:15" x14ac:dyDescent="0.25">
      <c r="D446">
        <v>28</v>
      </c>
      <c r="E446" s="25">
        <f t="shared" si="52"/>
        <v>8.7871942240337576E-4</v>
      </c>
      <c r="F446">
        <f t="shared" si="48"/>
        <v>51.127355713329834</v>
      </c>
      <c r="G446">
        <f t="shared" si="49"/>
        <v>51.127355713329834</v>
      </c>
      <c r="H446">
        <f t="shared" si="50"/>
        <v>0.94657792469931068</v>
      </c>
      <c r="I446">
        <f t="shared" si="51"/>
        <v>0.94657792469931068</v>
      </c>
      <c r="K446" s="44">
        <f ca="1">Gamma!D60</f>
        <v>2.3694415125127835E-4</v>
      </c>
    </row>
    <row r="447" spans="4:15" x14ac:dyDescent="0.25">
      <c r="D447">
        <v>29</v>
      </c>
      <c r="E447" s="25">
        <f t="shared" si="52"/>
        <v>9.1126458619609336E-4</v>
      </c>
      <c r="F447">
        <f t="shared" si="48"/>
        <v>48.786831291818892</v>
      </c>
      <c r="G447">
        <f t="shared" si="49"/>
        <v>48.786831291818892</v>
      </c>
      <c r="H447">
        <f t="shared" si="50"/>
        <v>0.94820332170171362</v>
      </c>
      <c r="I447">
        <f t="shared" si="51"/>
        <v>0.94820332170171362</v>
      </c>
      <c r="K447" s="44">
        <f ca="1">Gamma!D61</f>
        <v>8.4734455421169874E-6</v>
      </c>
    </row>
    <row r="448" spans="4:15" x14ac:dyDescent="0.25">
      <c r="D448">
        <v>30</v>
      </c>
      <c r="E448" s="25">
        <f t="shared" si="52"/>
        <v>9.4380974998881095E-4</v>
      </c>
      <c r="F448">
        <f t="shared" si="48"/>
        <v>46.608987542513837</v>
      </c>
      <c r="G448">
        <f t="shared" si="49"/>
        <v>46.608987542513837</v>
      </c>
      <c r="H448">
        <f t="shared" si="50"/>
        <v>0.94975523948722262</v>
      </c>
      <c r="I448">
        <f t="shared" si="51"/>
        <v>0.94975523948722262</v>
      </c>
      <c r="K448" s="44">
        <f ca="1">Gamma!D62</f>
        <v>5.3198914834291436E-41</v>
      </c>
    </row>
    <row r="449" spans="4:11" x14ac:dyDescent="0.25">
      <c r="D449">
        <v>31</v>
      </c>
      <c r="E449" s="25">
        <f t="shared" si="52"/>
        <v>9.7635491378152855E-4</v>
      </c>
      <c r="F449">
        <f t="shared" si="48"/>
        <v>44.577877908732347</v>
      </c>
      <c r="G449">
        <f t="shared" si="49"/>
        <v>44.577877908732347</v>
      </c>
      <c r="H449">
        <f t="shared" si="50"/>
        <v>0.95123870706967528</v>
      </c>
      <c r="I449">
        <f t="shared" si="51"/>
        <v>0.95123870706967528</v>
      </c>
      <c r="K449" s="44">
        <f ca="1">Gamma!D63</f>
        <v>9.3128618708756241E-7</v>
      </c>
    </row>
    <row r="450" spans="4:11" x14ac:dyDescent="0.25">
      <c r="D450">
        <v>32</v>
      </c>
      <c r="E450" s="25">
        <f t="shared" si="52"/>
        <v>1.0089000775742461E-3</v>
      </c>
      <c r="F450">
        <f t="shared" si="48"/>
        <v>42.679577993524106</v>
      </c>
      <c r="G450">
        <f t="shared" si="49"/>
        <v>42.679577993524106</v>
      </c>
      <c r="H450">
        <f t="shared" si="50"/>
        <v>0.95265826831858591</v>
      </c>
      <c r="I450">
        <f t="shared" si="51"/>
        <v>0.95265826831858591</v>
      </c>
      <c r="K450" s="44">
        <f ca="1">Gamma!D64</f>
        <v>1.1872612514502581E-16</v>
      </c>
    </row>
    <row r="451" spans="4:11" x14ac:dyDescent="0.25">
      <c r="D451">
        <v>33</v>
      </c>
      <c r="E451" s="25">
        <f t="shared" si="52"/>
        <v>1.0414452413669637E-3</v>
      </c>
      <c r="F451">
        <f t="shared" si="48"/>
        <v>40.90187384388755</v>
      </c>
      <c r="G451">
        <f t="shared" si="49"/>
        <v>40.90187384388755</v>
      </c>
      <c r="H451">
        <f t="shared" si="50"/>
        <v>0.95401804252796274</v>
      </c>
      <c r="I451">
        <f t="shared" si="51"/>
        <v>0.95401804252796274</v>
      </c>
      <c r="K451" s="44">
        <f ca="1">Gamma!D65</f>
        <v>4.2467346203780431E-7</v>
      </c>
    </row>
    <row r="452" spans="4:11" x14ac:dyDescent="0.25">
      <c r="D452">
        <v>34</v>
      </c>
      <c r="E452" s="25">
        <f t="shared" si="52"/>
        <v>1.0739904051596813E-3</v>
      </c>
      <c r="F452">
        <f t="shared" si="48"/>
        <v>39.234006297329486</v>
      </c>
      <c r="G452">
        <f t="shared" si="49"/>
        <v>39.234006297329486</v>
      </c>
      <c r="H452">
        <f t="shared" si="50"/>
        <v>0.95532177578778943</v>
      </c>
      <c r="I452">
        <f t="shared" si="51"/>
        <v>0.95532177578778943</v>
      </c>
      <c r="K452" s="44">
        <f ca="1">Gamma!D66</f>
        <v>4.9128793247646308E-5</v>
      </c>
    </row>
    <row r="453" spans="4:11" x14ac:dyDescent="0.25">
      <c r="D453">
        <v>35</v>
      </c>
      <c r="E453" s="25">
        <f t="shared" si="52"/>
        <v>1.1065355689523989E-3</v>
      </c>
      <c r="F453">
        <f t="shared" si="48"/>
        <v>37.666459952575913</v>
      </c>
      <c r="G453">
        <f t="shared" si="49"/>
        <v>37.666459952575913</v>
      </c>
      <c r="H453">
        <f t="shared" si="50"/>
        <v>0.95657288478850588</v>
      </c>
      <c r="I453">
        <f t="shared" si="51"/>
        <v>0.95657288478850588</v>
      </c>
      <c r="K453" s="44">
        <f ca="1">Gamma!D67</f>
        <v>9.7803279192641649E-7</v>
      </c>
    </row>
    <row r="454" spans="4:11" x14ac:dyDescent="0.25">
      <c r="D454">
        <v>36</v>
      </c>
      <c r="E454" s="25">
        <f t="shared" si="52"/>
        <v>1.1390807327451165E-3</v>
      </c>
      <c r="F454">
        <f t="shared" si="48"/>
        <v>36.19078792054529</v>
      </c>
      <c r="G454">
        <f t="shared" si="49"/>
        <v>36.19078792054529</v>
      </c>
      <c r="H454">
        <f t="shared" si="50"/>
        <v>0.95777449436081341</v>
      </c>
      <c r="I454">
        <f t="shared" si="51"/>
        <v>0.95777449436081341</v>
      </c>
      <c r="K454" s="44">
        <f ca="1">Gamma!D68</f>
        <v>8.9044639695394335E-9</v>
      </c>
    </row>
    <row r="455" spans="4:11" x14ac:dyDescent="0.25">
      <c r="D455">
        <v>37</v>
      </c>
      <c r="E455" s="25">
        <f t="shared" si="52"/>
        <v>1.1716258965378341E-3</v>
      </c>
      <c r="F455">
        <f t="shared" si="48"/>
        <v>34.799465461773551</v>
      </c>
      <c r="G455">
        <f t="shared" si="49"/>
        <v>34.799465461773551</v>
      </c>
      <c r="H455">
        <f t="shared" si="50"/>
        <v>0.95892946979851978</v>
      </c>
      <c r="I455">
        <f t="shared" si="51"/>
        <v>0.95892946979851978</v>
      </c>
      <c r="K455" s="44">
        <f ca="1">Gamma!D69</f>
        <v>1.4213715105179059E-17</v>
      </c>
    </row>
    <row r="456" spans="4:11" x14ac:dyDescent="0.25">
      <c r="D456">
        <v>38</v>
      </c>
      <c r="E456" s="25">
        <f t="shared" si="52"/>
        <v>1.2041710603305517E-3</v>
      </c>
      <c r="F456">
        <f t="shared" si="48"/>
        <v>33.485767095415412</v>
      </c>
      <c r="G456">
        <f t="shared" si="49"/>
        <v>33.485767095415412</v>
      </c>
      <c r="H456">
        <f t="shared" si="50"/>
        <v>0.96004044481293849</v>
      </c>
      <c r="I456">
        <f t="shared" si="51"/>
        <v>0.96004044481293849</v>
      </c>
      <c r="K456" s="44">
        <f ca="1">Gamma!D70</f>
        <v>2.5382276802569946E-6</v>
      </c>
    </row>
    <row r="457" spans="4:11" x14ac:dyDescent="0.25">
      <c r="D457">
        <v>39</v>
      </c>
      <c r="E457" s="25">
        <f t="shared" si="52"/>
        <v>1.2367162241232693E-3</v>
      </c>
      <c r="F457">
        <f t="shared" si="48"/>
        <v>32.243662895986049</v>
      </c>
      <c r="G457">
        <f t="shared" si="49"/>
        <v>32.243662895986049</v>
      </c>
      <c r="H457">
        <f t="shared" si="50"/>
        <v>0.9611098458103382</v>
      </c>
      <c r="I457">
        <f t="shared" si="51"/>
        <v>0.9611098458103382</v>
      </c>
      <c r="K457" s="44">
        <f ca="1">Gamma!D71</f>
        <v>9.4725942040248374E-15</v>
      </c>
    </row>
    <row r="458" spans="4:11" x14ac:dyDescent="0.25">
      <c r="D458">
        <v>40</v>
      </c>
      <c r="E458" s="25">
        <f t="shared" si="52"/>
        <v>1.2692613879159869E-3</v>
      </c>
      <c r="F458">
        <f t="shared" si="48"/>
        <v>31.067730565818508</v>
      </c>
      <c r="G458">
        <f t="shared" si="49"/>
        <v>31.067730565818508</v>
      </c>
      <c r="H458">
        <f t="shared" si="50"/>
        <v>0.96213991305931801</v>
      </c>
      <c r="I458">
        <f t="shared" si="51"/>
        <v>0.96213991305931801</v>
      </c>
      <c r="K458" s="44">
        <f ca="1">Gamma!D72</f>
        <v>4.6513405327184776E-13</v>
      </c>
    </row>
    <row r="459" spans="4:11" x14ac:dyDescent="0.25">
      <c r="D459">
        <v>41</v>
      </c>
      <c r="E459" s="25">
        <f t="shared" si="52"/>
        <v>1.3018065517087045E-3</v>
      </c>
      <c r="F459">
        <f t="shared" si="48"/>
        <v>29.953080548212409</v>
      </c>
      <c r="G459">
        <f t="shared" si="49"/>
        <v>29.953080548212409</v>
      </c>
      <c r="H459">
        <f t="shared" si="50"/>
        <v>0.96313271921540666</v>
      </c>
      <c r="I459">
        <f t="shared" si="51"/>
        <v>0.96313271921540666</v>
      </c>
      <c r="K459" s="44">
        <f ca="1">Gamma!D73</f>
        <v>5.6305598612644724E-6</v>
      </c>
    </row>
    <row r="460" spans="4:11" x14ac:dyDescent="0.25">
      <c r="D460">
        <v>42</v>
      </c>
      <c r="E460" s="25">
        <f t="shared" si="52"/>
        <v>1.3343517155014221E-3</v>
      </c>
      <c r="F460">
        <f t="shared" si="48"/>
        <v>28.895291975664819</v>
      </c>
      <c r="G460">
        <f t="shared" si="49"/>
        <v>28.895291975664819</v>
      </c>
      <c r="H460">
        <f t="shared" si="50"/>
        <v>0.96409018559014004</v>
      </c>
      <c r="I460">
        <f t="shared" si="51"/>
        <v>0.96409018559014004</v>
      </c>
      <c r="K460" s="44">
        <f ca="1">Gamma!D74</f>
        <v>2.2305938040308739E-5</v>
      </c>
    </row>
    <row r="461" spans="4:11" x14ac:dyDescent="0.25">
      <c r="D461">
        <v>43</v>
      </c>
      <c r="E461" s="25">
        <f t="shared" si="52"/>
        <v>1.3668968792941397E-3</v>
      </c>
      <c r="F461">
        <f t="shared" si="48"/>
        <v>27.890357664329958</v>
      </c>
      <c r="G461">
        <f t="shared" si="49"/>
        <v>27.890357664329958</v>
      </c>
      <c r="H461">
        <f t="shared" si="50"/>
        <v>0.96501409648713632</v>
      </c>
      <c r="I461">
        <f t="shared" si="51"/>
        <v>0.96501409648713632</v>
      </c>
      <c r="K461" s="44">
        <f ca="1">Gamma!D75</f>
        <v>2.0517648058242236E-8</v>
      </c>
    </row>
    <row r="462" spans="4:11" x14ac:dyDescent="0.25">
      <c r="D462">
        <v>44</v>
      </c>
      <c r="E462" s="25">
        <f t="shared" si="52"/>
        <v>1.3994420430868573E-3</v>
      </c>
      <c r="F462">
        <f t="shared" si="48"/>
        <v>26.934636695989518</v>
      </c>
      <c r="G462">
        <f t="shared" si="49"/>
        <v>26.934636695989518</v>
      </c>
      <c r="H462">
        <f t="shared" si="50"/>
        <v>0.96590611187504327</v>
      </c>
      <c r="I462">
        <f t="shared" si="51"/>
        <v>0.96590611187504327</v>
      </c>
      <c r="K462" s="44">
        <f ca="1">Gamma!D76</f>
        <v>1.9050024656943576E-17</v>
      </c>
    </row>
    <row r="463" spans="4:11" x14ac:dyDescent="0.25">
      <c r="D463">
        <v>45</v>
      </c>
      <c r="E463" s="25">
        <f t="shared" si="52"/>
        <v>1.4319872068795749E-3</v>
      </c>
      <c r="F463">
        <f t="shared" si="48"/>
        <v>26.024813391896032</v>
      </c>
      <c r="G463">
        <f t="shared" si="49"/>
        <v>26.024813391896032</v>
      </c>
      <c r="H463">
        <f t="shared" si="50"/>
        <v>0.96676777862420604</v>
      </c>
      <c r="I463">
        <f t="shared" si="51"/>
        <v>0.96676777862420604</v>
      </c>
      <c r="K463" s="44">
        <f ca="1">Gamma!D77</f>
        <v>1.664531675124289E-7</v>
      </c>
    </row>
    <row r="464" spans="4:11" x14ac:dyDescent="0.25">
      <c r="D464">
        <v>46</v>
      </c>
      <c r="E464" s="25">
        <f t="shared" si="52"/>
        <v>1.4645323706722925E-3</v>
      </c>
      <c r="F464">
        <f t="shared" si="48"/>
        <v>25.157861693685273</v>
      </c>
      <c r="G464">
        <f t="shared" si="49"/>
        <v>25.157861693685273</v>
      </c>
      <c r="H464">
        <f t="shared" si="50"/>
        <v>0.9676005404985405</v>
      </c>
      <c r="I464">
        <f t="shared" si="51"/>
        <v>0.9676005404985405</v>
      </c>
      <c r="K464" s="44">
        <f ca="1">Gamma!D78</f>
        <v>2.9404263465420252E-9</v>
      </c>
    </row>
    <row r="465" spans="4:11" x14ac:dyDescent="0.25">
      <c r="D465">
        <v>47</v>
      </c>
      <c r="E465" s="25">
        <f t="shared" si="52"/>
        <v>1.4970775344650101E-3</v>
      </c>
      <c r="F465">
        <f t="shared" si="48"/>
        <v>24.331014136429424</v>
      </c>
      <c r="G465">
        <f t="shared" si="49"/>
        <v>24.331014136429424</v>
      </c>
      <c r="H465">
        <f t="shared" si="50"/>
        <v>0.96840574706491278</v>
      </c>
      <c r="I465">
        <f t="shared" si="51"/>
        <v>0.96840574706491278</v>
      </c>
      <c r="K465" s="44">
        <f ca="1">Gamma!D79</f>
        <v>3.5791742867304441E-3</v>
      </c>
    </row>
    <row r="466" spans="4:11" x14ac:dyDescent="0.25">
      <c r="D466">
        <v>48</v>
      </c>
      <c r="E466" s="25">
        <f t="shared" si="52"/>
        <v>1.5296226982577277E-3</v>
      </c>
      <c r="F466">
        <f t="shared" si="48"/>
        <v>23.541734736479022</v>
      </c>
      <c r="G466">
        <f t="shared" si="49"/>
        <v>23.541734736479022</v>
      </c>
      <c r="H466">
        <f t="shared" si="50"/>
        <v>0.96918466165812034</v>
      </c>
      <c r="I466">
        <f t="shared" si="51"/>
        <v>0.96918466165812034</v>
      </c>
      <c r="K466" s="44">
        <f ca="1">Gamma!D80</f>
        <v>2.4854800257032957E-6</v>
      </c>
    </row>
    <row r="467" spans="4:11" x14ac:dyDescent="0.25">
      <c r="D467">
        <v>49</v>
      </c>
      <c r="E467" s="25">
        <f t="shared" si="52"/>
        <v>1.5621678620504453E-3</v>
      </c>
      <c r="F467">
        <f t="shared" si="48"/>
        <v>22.787695228706561</v>
      </c>
      <c r="G467">
        <f t="shared" si="49"/>
        <v>22.787695228706561</v>
      </c>
      <c r="H467">
        <f t="shared" si="50"/>
        <v>0.96993846851940624</v>
      </c>
      <c r="I467">
        <f t="shared" si="51"/>
        <v>0.96993846851940624</v>
      </c>
      <c r="K467" s="44">
        <f ca="1">Gamma!D81</f>
        <v>2.8154412586382123E-9</v>
      </c>
    </row>
    <row r="468" spans="4:11" x14ac:dyDescent="0.25">
      <c r="D468">
        <v>50</v>
      </c>
      <c r="E468" s="25">
        <f t="shared" si="52"/>
        <v>1.5947130258431629E-3</v>
      </c>
      <c r="F468">
        <f t="shared" si="48"/>
        <v>22.066754179311253</v>
      </c>
      <c r="G468">
        <f t="shared" si="49"/>
        <v>22.066754179311253</v>
      </c>
      <c r="H468">
        <f t="shared" si="50"/>
        <v>0.97066827920957899</v>
      </c>
      <c r="I468">
        <f t="shared" si="51"/>
        <v>0.97066827920957899</v>
      </c>
      <c r="K468" s="44">
        <f ca="1">Gamma!D82</f>
        <v>4.4837355081504527E-7</v>
      </c>
    </row>
    <row r="469" spans="4:11" x14ac:dyDescent="0.25">
      <c r="D469">
        <v>51</v>
      </c>
      <c r="E469" s="25">
        <f t="shared" si="52"/>
        <v>1.6272581896358805E-3</v>
      </c>
      <c r="F469">
        <f t="shared" si="48"/>
        <v>21.376938575531373</v>
      </c>
      <c r="G469">
        <f t="shared" si="49"/>
        <v>21.376938575531373</v>
      </c>
      <c r="H469">
        <f t="shared" si="50"/>
        <v>0.9713751383836533</v>
      </c>
      <c r="I469">
        <f t="shared" si="51"/>
        <v>0.9713751383836533</v>
      </c>
      <c r="K469" s="44">
        <f ca="1">Gamma!D83</f>
        <v>2.3317253794039314E-8</v>
      </c>
    </row>
    <row r="470" spans="4:11" x14ac:dyDescent="0.25">
      <c r="D470">
        <v>52</v>
      </c>
      <c r="E470" s="25">
        <f t="shared" si="52"/>
        <v>1.6598033534285981E-3</v>
      </c>
      <c r="F470">
        <f t="shared" si="48"/>
        <v>20.716427555624421</v>
      </c>
      <c r="G470">
        <f t="shared" si="49"/>
        <v>20.716427555624421</v>
      </c>
      <c r="H470">
        <f t="shared" si="50"/>
        <v>0.97206002900199007</v>
      </c>
      <c r="I470">
        <f t="shared" si="51"/>
        <v>0.97206002900199007</v>
      </c>
      <c r="K470" s="44">
        <f ca="1">Gamma!D84</f>
        <v>6.8492350834070022E-8</v>
      </c>
    </row>
    <row r="471" spans="4:11" x14ac:dyDescent="0.25">
      <c r="D471">
        <v>53</v>
      </c>
      <c r="E471" s="25">
        <f t="shared" si="52"/>
        <v>1.6923485172213157E-3</v>
      </c>
      <c r="F471">
        <f t="shared" si="48"/>
        <v>20.083537993833929</v>
      </c>
      <c r="G471">
        <f t="shared" si="49"/>
        <v>20.083537993833929</v>
      </c>
      <c r="H471">
        <f t="shared" si="50"/>
        <v>0.97272387704282437</v>
      </c>
      <c r="I471">
        <f t="shared" si="51"/>
        <v>0.97272387704282437</v>
      </c>
      <c r="K471" s="44">
        <f ca="1">Gamma!D85</f>
        <v>3.0635222643381182E-11</v>
      </c>
    </row>
    <row r="472" spans="4:11" x14ac:dyDescent="0.25">
      <c r="D472">
        <v>54</v>
      </c>
      <c r="E472" s="25">
        <f t="shared" si="52"/>
        <v>1.7248936810140333E-3</v>
      </c>
      <c r="F472">
        <f t="shared" si="48"/>
        <v>19.476711697762411</v>
      </c>
      <c r="G472">
        <f t="shared" si="49"/>
        <v>19.476711697762411</v>
      </c>
      <c r="H472">
        <f t="shared" si="50"/>
        <v>0.97336755577249712</v>
      </c>
      <c r="I472">
        <f t="shared" si="51"/>
        <v>0.97336755577249712</v>
      </c>
      <c r="K472" s="44">
        <f ca="1">Gamma!D86</f>
        <v>1.3979322276918786E-5</v>
      </c>
    </row>
    <row r="473" spans="4:11" x14ac:dyDescent="0.25">
      <c r="D473">
        <v>55</v>
      </c>
      <c r="E473" s="25">
        <f t="shared" si="52"/>
        <v>1.7574388448067509E-3</v>
      </c>
      <c r="F473">
        <f t="shared" si="48"/>
        <v>18.894504011205491</v>
      </c>
      <c r="G473">
        <f t="shared" si="49"/>
        <v>18.894504011205491</v>
      </c>
      <c r="H473">
        <f t="shared" si="50"/>
        <v>0.97399188962241245</v>
      </c>
      <c r="I473">
        <f t="shared" si="51"/>
        <v>0.97399188962241245</v>
      </c>
      <c r="K473" s="44">
        <f ca="1">Gamma!D87</f>
        <v>3.6020755950895832E-20</v>
      </c>
    </row>
    <row r="474" spans="4:11" x14ac:dyDescent="0.25">
      <c r="D474">
        <v>56</v>
      </c>
      <c r="E474" s="25">
        <f t="shared" si="52"/>
        <v>1.7899840085994685E-3</v>
      </c>
      <c r="F474">
        <f t="shared" si="48"/>
        <v>18.335573645349211</v>
      </c>
      <c r="G474">
        <f t="shared" si="49"/>
        <v>18.335573645349211</v>
      </c>
      <c r="H474">
        <f t="shared" si="50"/>
        <v>0.97459765771550533</v>
      </c>
      <c r="I474">
        <f t="shared" si="51"/>
        <v>0.97459765771550533</v>
      </c>
      <c r="K474" s="44">
        <f ca="1">Gamma!D88</f>
        <v>5.332036161091039E-12</v>
      </c>
    </row>
    <row r="475" spans="4:11" x14ac:dyDescent="0.25">
      <c r="D475">
        <v>57</v>
      </c>
      <c r="E475" s="25">
        <f t="shared" si="52"/>
        <v>1.8225291723921861E-3</v>
      </c>
      <c r="F475">
        <f t="shared" si="48"/>
        <v>17.798673586318337</v>
      </c>
      <c r="G475">
        <f t="shared" si="49"/>
        <v>17.798673586318337</v>
      </c>
      <c r="H475">
        <f t="shared" si="50"/>
        <v>0.97518559707966046</v>
      </c>
      <c r="I475">
        <f t="shared" si="51"/>
        <v>0.97518559707966046</v>
      </c>
      <c r="K475" s="44">
        <f ca="1">Gamma!D89</f>
        <v>1.4677237914944668E-13</v>
      </c>
    </row>
    <row r="476" spans="4:11" x14ac:dyDescent="0.25">
      <c r="D476">
        <v>58</v>
      </c>
      <c r="E476" s="25">
        <f t="shared" si="52"/>
        <v>1.8550743361849037E-3</v>
      </c>
      <c r="F476">
        <f t="shared" si="48"/>
        <v>17.282642948216591</v>
      </c>
      <c r="G476">
        <f t="shared" si="49"/>
        <v>17.282642948216591</v>
      </c>
      <c r="H476">
        <f t="shared" si="50"/>
        <v>0.97575640558093069</v>
      </c>
      <c r="I476">
        <f t="shared" si="51"/>
        <v>0.97575640558093069</v>
      </c>
      <c r="K476" s="44">
        <f ca="1">Gamma!D90</f>
        <v>8.3029249046825244E-5</v>
      </c>
    </row>
    <row r="477" spans="4:11" x14ac:dyDescent="0.25">
      <c r="D477">
        <v>59</v>
      </c>
      <c r="E477" s="25">
        <f t="shared" si="52"/>
        <v>1.8876194999776213E-3</v>
      </c>
      <c r="F477">
        <f t="shared" si="48"/>
        <v>16.786399658695768</v>
      </c>
      <c r="G477">
        <f t="shared" si="49"/>
        <v>16.786399658695768</v>
      </c>
      <c r="H477">
        <f t="shared" si="50"/>
        <v>0.97631074460544276</v>
      </c>
      <c r="I477">
        <f t="shared" si="51"/>
        <v>0.97631074460544276</v>
      </c>
      <c r="K477" s="44">
        <f ca="1">Gamma!D91</f>
        <v>4.1085038613687926E-3</v>
      </c>
    </row>
    <row r="478" spans="4:11" x14ac:dyDescent="0.25">
      <c r="D478">
        <v>60</v>
      </c>
      <c r="E478" s="25">
        <f t="shared" si="52"/>
        <v>1.9201646637703389E-3</v>
      </c>
      <c r="F478">
        <f t="shared" si="48"/>
        <v>16.308933879276321</v>
      </c>
      <c r="G478">
        <f t="shared" si="49"/>
        <v>16.308933879276321</v>
      </c>
      <c r="H478">
        <f t="shared" si="50"/>
        <v>0.97684924151545749</v>
      </c>
      <c r="I478">
        <f t="shared" si="51"/>
        <v>0.97684924151545749</v>
      </c>
      <c r="K478" s="44">
        <f ca="1">Gamma!D92</f>
        <v>2.0744711780798211E-18</v>
      </c>
    </row>
    <row r="479" spans="4:11" x14ac:dyDescent="0.25">
      <c r="D479">
        <v>61</v>
      </c>
      <c r="E479" s="25">
        <f t="shared" si="52"/>
        <v>1.9527098275630564E-3</v>
      </c>
      <c r="F479">
        <f t="shared" si="48"/>
        <v>15.849302075567131</v>
      </c>
      <c r="G479">
        <f t="shared" si="49"/>
        <v>15.849302075567131</v>
      </c>
      <c r="H479">
        <f t="shared" si="50"/>
        <v>0.97737249190208242</v>
      </c>
      <c r="I479">
        <f t="shared" si="51"/>
        <v>0.97737249190208242</v>
      </c>
      <c r="K479" s="44">
        <f ca="1">Gamma!D93</f>
        <v>1.0616276722859295E-7</v>
      </c>
    </row>
    <row r="480" spans="4:11" x14ac:dyDescent="0.25">
      <c r="D480">
        <v>62</v>
      </c>
      <c r="E480" s="25">
        <f t="shared" si="52"/>
        <v>1.985254991355774E-3</v>
      </c>
      <c r="F480">
        <f t="shared" si="48"/>
        <v>15.406621663564346</v>
      </c>
      <c r="G480">
        <f t="shared" si="49"/>
        <v>15.406621663564346</v>
      </c>
      <c r="H480">
        <f t="shared" si="50"/>
        <v>0.9778810616545599</v>
      </c>
      <c r="I480">
        <f t="shared" si="51"/>
        <v>0.9778810616545599</v>
      </c>
      <c r="K480" s="44">
        <f ca="1">Gamma!D94</f>
        <v>6.0287848347328794E-5</v>
      </c>
    </row>
    <row r="481" spans="4:11" x14ac:dyDescent="0.25">
      <c r="D481">
        <v>63</v>
      </c>
      <c r="E481" s="25">
        <f t="shared" si="52"/>
        <v>2.0178001551484919E-3</v>
      </c>
      <c r="F481">
        <f t="shared" si="48"/>
        <v>14.980066167652014</v>
      </c>
      <c r="G481">
        <f t="shared" si="49"/>
        <v>14.980066167652014</v>
      </c>
      <c r="H481">
        <f t="shared" si="50"/>
        <v>0.97837548886380798</v>
      </c>
      <c r="I481">
        <f t="shared" si="51"/>
        <v>0.97837548886380798</v>
      </c>
      <c r="K481" s="44">
        <f ca="1">Gamma!D95</f>
        <v>3.0103145369124825E-4</v>
      </c>
    </row>
    <row r="482" spans="4:11" x14ac:dyDescent="0.25">
      <c r="D482">
        <v>64</v>
      </c>
      <c r="E482" s="25">
        <f t="shared" si="52"/>
        <v>2.0503453189412097E-3</v>
      </c>
      <c r="F482">
        <f t="shared" si="48"/>
        <v>14.568860834031184</v>
      </c>
      <c r="G482">
        <f t="shared" si="49"/>
        <v>14.568860834031184</v>
      </c>
      <c r="H482">
        <f t="shared" si="50"/>
        <v>0.97885628557593085</v>
      </c>
      <c r="I482">
        <f t="shared" si="51"/>
        <v>0.97885628557593085</v>
      </c>
      <c r="K482" s="44">
        <f ca="1">Gamma!D96</f>
        <v>2.6290247098072428E-4</v>
      </c>
    </row>
    <row r="483" spans="4:11" x14ac:dyDescent="0.25">
      <c r="D483">
        <v>65</v>
      </c>
      <c r="E483" s="25">
        <f t="shared" si="52"/>
        <v>2.0828904827339275E-3</v>
      </c>
      <c r="F483">
        <f t="shared" si="48"/>
        <v>14.172278650277043</v>
      </c>
      <c r="G483">
        <f t="shared" si="49"/>
        <v>14.172278650277043</v>
      </c>
      <c r="H483">
        <f t="shared" si="50"/>
        <v>0.97932393940970242</v>
      </c>
      <c r="I483">
        <f t="shared" si="51"/>
        <v>0.97932393940970242</v>
      </c>
      <c r="K483" s="44">
        <f ca="1">Gamma!D97</f>
        <v>4.7864814332983291E-11</v>
      </c>
    </row>
    <row r="484" spans="4:11" x14ac:dyDescent="0.25">
      <c r="D484">
        <v>66</v>
      </c>
      <c r="E484" s="25">
        <f t="shared" si="52"/>
        <v>2.1154356465266453E-3</v>
      </c>
      <c r="F484">
        <f t="shared" ref="F484:F518" si="56">GAMMADIST(E484,$B$425,1/$B$426,0)</f>
        <v>13.789636727738454</v>
      </c>
      <c r="G484">
        <f t="shared" ref="G484:G518" si="57">IF(OR($E484&gt;$B$422,$E484&lt;$B$421),NA(),$F484)</f>
        <v>13.789636727738454</v>
      </c>
      <c r="H484">
        <f t="shared" ref="H484:H518" si="58">GAMMADIST(E484,$B$425,1/$B$426,1)</f>
        <v>0.97977891505051851</v>
      </c>
      <c r="I484">
        <f t="shared" ref="I484:I518" si="59">IF(OR($E484&gt;$B$422,$E484&lt;$B$421),NA(),$H484)</f>
        <v>0.97977891505051851</v>
      </c>
      <c r="K484" s="44">
        <f ca="1">Gamma!D98</f>
        <v>2.5235428107775587E-8</v>
      </c>
    </row>
    <row r="485" spans="4:11" x14ac:dyDescent="0.25">
      <c r="D485">
        <v>67</v>
      </c>
      <c r="E485" s="25">
        <f t="shared" ref="E485:E518" si="60">($B$424-$B$423)/99+E484</f>
        <v>2.1479808103193631E-3</v>
      </c>
      <c r="F485">
        <f t="shared" si="56"/>
        <v>13.420293008694959</v>
      </c>
      <c r="G485">
        <f t="shared" si="57"/>
        <v>13.420293008694959</v>
      </c>
      <c r="H485">
        <f t="shared" si="58"/>
        <v>0.98022165563199704</v>
      </c>
      <c r="I485">
        <f t="shared" si="59"/>
        <v>0.98022165563199704</v>
      </c>
      <c r="K485" s="44">
        <f ca="1">Gamma!D99</f>
        <v>2.7103276506751071E-12</v>
      </c>
    </row>
    <row r="486" spans="4:11" x14ac:dyDescent="0.25">
      <c r="D486">
        <v>68</v>
      </c>
      <c r="E486" s="25">
        <f t="shared" si="60"/>
        <v>2.1805259741120809E-3</v>
      </c>
      <c r="F486">
        <f t="shared" si="56"/>
        <v>13.063643264693852</v>
      </c>
      <c r="G486">
        <f t="shared" si="57"/>
        <v>13.063643264693852</v>
      </c>
      <c r="H486">
        <f t="shared" si="58"/>
        <v>0.98065258401523414</v>
      </c>
      <c r="I486">
        <f t="shared" si="59"/>
        <v>0.98065258401523414</v>
      </c>
      <c r="K486" s="44">
        <f ca="1">Gamma!D100</f>
        <v>4.3058088427130826E-7</v>
      </c>
    </row>
    <row r="487" spans="4:11" x14ac:dyDescent="0.25">
      <c r="D487">
        <v>69</v>
      </c>
      <c r="E487" s="25">
        <f t="shared" si="60"/>
        <v>2.2130711379047987E-3</v>
      </c>
      <c r="F487">
        <f t="shared" si="56"/>
        <v>12.719118356405316</v>
      </c>
      <c r="G487">
        <f t="shared" si="57"/>
        <v>12.719118356405316</v>
      </c>
      <c r="H487">
        <f t="shared" si="58"/>
        <v>0.98107210397470279</v>
      </c>
      <c r="I487">
        <f t="shared" si="59"/>
        <v>0.98107210397470279</v>
      </c>
      <c r="K487" s="44">
        <f ca="1">Gamma!D101</f>
        <v>2.6053816332427971E-23</v>
      </c>
    </row>
    <row r="488" spans="4:11" x14ac:dyDescent="0.25">
      <c r="D488">
        <v>70</v>
      </c>
      <c r="E488" s="25">
        <f t="shared" si="60"/>
        <v>2.2456163016975166E-3</v>
      </c>
      <c r="F488">
        <f t="shared" si="56"/>
        <v>12.386181728742274</v>
      </c>
      <c r="G488">
        <f t="shared" si="57"/>
        <v>12.386181728742274</v>
      </c>
      <c r="H488">
        <f t="shared" si="58"/>
        <v>0.9814806012988686</v>
      </c>
      <c r="I488">
        <f t="shared" si="59"/>
        <v>0.9814806012988686</v>
      </c>
      <c r="K488" s="44">
        <f ca="1">Gamma!D102</f>
        <v>1.4155350814559227E-5</v>
      </c>
    </row>
    <row r="489" spans="4:11" x14ac:dyDescent="0.25">
      <c r="D489">
        <v>71</v>
      </c>
      <c r="E489" s="25">
        <f t="shared" si="60"/>
        <v>2.2781614654902344E-3</v>
      </c>
      <c r="F489">
        <f t="shared" si="56"/>
        <v>12.064327117965396</v>
      </c>
      <c r="G489">
        <f t="shared" si="57"/>
        <v>12.064327117965396</v>
      </c>
      <c r="H489">
        <f t="shared" si="58"/>
        <v>0.9818784448127913</v>
      </c>
      <c r="I489">
        <f t="shared" si="59"/>
        <v>0.9818784448127913</v>
      </c>
      <c r="K489" s="44">
        <f ca="1">Gamma!D103</f>
        <v>9.8913071927456949E-9</v>
      </c>
    </row>
    <row r="490" spans="4:11" x14ac:dyDescent="0.25">
      <c r="D490">
        <v>72</v>
      </c>
      <c r="E490" s="25">
        <f t="shared" si="60"/>
        <v>2.3107066292829522E-3</v>
      </c>
      <c r="F490">
        <f t="shared" si="56"/>
        <v>11.753076450093332</v>
      </c>
      <c r="G490">
        <f t="shared" si="57"/>
        <v>11.753076450093332</v>
      </c>
      <c r="H490">
        <f t="shared" si="58"/>
        <v>0.9822659873292714</v>
      </c>
      <c r="I490">
        <f t="shared" si="59"/>
        <v>0.9822659873292714</v>
      </c>
      <c r="K490" s="44">
        <f ca="1">Gamma!D104</f>
        <v>5.2090778952286108E-5</v>
      </c>
    </row>
    <row r="491" spans="4:11" x14ac:dyDescent="0.25">
      <c r="D491">
        <v>73</v>
      </c>
      <c r="E491" s="25">
        <f t="shared" si="60"/>
        <v>2.34325179307567E-3</v>
      </c>
      <c r="F491">
        <f t="shared" si="56"/>
        <v>11.451977912215556</v>
      </c>
      <c r="G491">
        <f t="shared" si="57"/>
        <v>11.451977912215556</v>
      </c>
      <c r="H491">
        <f t="shared" si="58"/>
        <v>0.98264356653445972</v>
      </c>
      <c r="I491">
        <f t="shared" si="59"/>
        <v>0.98264356653445972</v>
      </c>
      <c r="K491" s="44">
        <f ca="1">Gamma!D105</f>
        <v>1.0868426508701567E-9</v>
      </c>
    </row>
    <row r="492" spans="4:11" x14ac:dyDescent="0.25">
      <c r="D492">
        <v>74</v>
      </c>
      <c r="E492" s="25">
        <f t="shared" si="60"/>
        <v>2.3757969568683878E-3</v>
      </c>
      <c r="F492">
        <f t="shared" si="56"/>
        <v>11.160604180303791</v>
      </c>
      <c r="G492">
        <f t="shared" si="57"/>
        <v>11.160604180303791</v>
      </c>
      <c r="H492">
        <f t="shared" si="58"/>
        <v>0.983011505813286</v>
      </c>
      <c r="I492">
        <f t="shared" si="59"/>
        <v>0.983011505813286</v>
      </c>
      <c r="K492" s="44">
        <f ca="1">Gamma!D106</f>
        <v>6.7879946619036507E-4</v>
      </c>
    </row>
    <row r="493" spans="4:11" x14ac:dyDescent="0.25">
      <c r="D493">
        <v>75</v>
      </c>
      <c r="E493" s="25">
        <f t="shared" si="60"/>
        <v>2.4083421206611056E-3</v>
      </c>
      <c r="F493">
        <f t="shared" si="56"/>
        <v>10.878550788875545</v>
      </c>
      <c r="G493">
        <f t="shared" si="57"/>
        <v>10.878550788875545</v>
      </c>
      <c r="H493">
        <f t="shared" si="58"/>
        <v>0.9833701150195584</v>
      </c>
      <c r="I493">
        <f t="shared" si="59"/>
        <v>0.9833701150195584</v>
      </c>
      <c r="K493" s="44">
        <f ca="1">Gamma!D107</f>
        <v>4.426394549744789E-15</v>
      </c>
    </row>
    <row r="494" spans="4:11" x14ac:dyDescent="0.25">
      <c r="D494">
        <v>76</v>
      </c>
      <c r="E494" s="25">
        <f t="shared" si="60"/>
        <v>2.4408872844538234E-3</v>
      </c>
      <c r="F494">
        <f t="shared" si="56"/>
        <v>10.605434629411411</v>
      </c>
      <c r="G494">
        <f t="shared" si="57"/>
        <v>10.605434629411411</v>
      </c>
      <c r="H494">
        <f t="shared" si="58"/>
        <v>0.98371969119513036</v>
      </c>
      <c r="I494">
        <f t="shared" si="59"/>
        <v>0.98371969119513036</v>
      </c>
      <c r="K494" s="44">
        <f ca="1">Gamma!D108</f>
        <v>9.4527489506252289E-6</v>
      </c>
    </row>
    <row r="495" spans="4:11" x14ac:dyDescent="0.25">
      <c r="D495">
        <v>77</v>
      </c>
      <c r="E495" s="25">
        <f t="shared" si="60"/>
        <v>2.4734324482465412E-3</v>
      </c>
      <c r="F495">
        <f t="shared" si="56"/>
        <v>10.340892565794137</v>
      </c>
      <c r="G495">
        <f t="shared" si="57"/>
        <v>10.340892565794137</v>
      </c>
      <c r="H495">
        <f t="shared" si="58"/>
        <v>0.98406051924213456</v>
      </c>
      <c r="I495">
        <f t="shared" si="59"/>
        <v>0.98406051924213456</v>
      </c>
      <c r="K495" s="44">
        <f ca="1">Gamma!D109</f>
        <v>8.9394874745409058E-4</v>
      </c>
    </row>
    <row r="496" spans="4:11" x14ac:dyDescent="0.25">
      <c r="D496">
        <v>78</v>
      </c>
      <c r="E496" s="25">
        <f t="shared" si="60"/>
        <v>2.5059776120392591E-3</v>
      </c>
      <c r="F496">
        <f t="shared" si="56"/>
        <v>10.084580156245339</v>
      </c>
      <c r="G496">
        <f t="shared" si="57"/>
        <v>10.084580156245339</v>
      </c>
      <c r="H496">
        <f t="shared" si="58"/>
        <v>0.98439287255191443</v>
      </c>
      <c r="I496">
        <f t="shared" si="59"/>
        <v>0.98439287255191443</v>
      </c>
      <c r="K496" s="44">
        <f ca="1">Gamma!D110</f>
        <v>1.7700900826927166E-7</v>
      </c>
    </row>
    <row r="497" spans="4:11" x14ac:dyDescent="0.25">
      <c r="D497">
        <v>79</v>
      </c>
      <c r="E497" s="25">
        <f t="shared" si="60"/>
        <v>2.5385227758319769E-3</v>
      </c>
      <c r="F497">
        <f t="shared" si="56"/>
        <v>9.8361704723052572</v>
      </c>
      <c r="G497">
        <f t="shared" si="57"/>
        <v>9.8361704723052572</v>
      </c>
      <c r="H497">
        <f t="shared" si="58"/>
        <v>0.9847170135939648</v>
      </c>
      <c r="I497">
        <f t="shared" si="59"/>
        <v>0.9847170135939648</v>
      </c>
      <c r="K497" s="44">
        <f ca="1">Gamma!D111</f>
        <v>2.6847202694789581E-10</v>
      </c>
    </row>
    <row r="498" spans="4:11" x14ac:dyDescent="0.25">
      <c r="D498">
        <v>80</v>
      </c>
      <c r="E498" s="25">
        <f t="shared" si="60"/>
        <v>2.5710679396246947E-3</v>
      </c>
      <c r="F498">
        <f t="shared" si="56"/>
        <v>9.5953530063496988</v>
      </c>
      <c r="G498">
        <f t="shared" si="57"/>
        <v>9.5953530063496988</v>
      </c>
      <c r="H498">
        <f t="shared" si="58"/>
        <v>0.98503319446789983</v>
      </c>
      <c r="I498">
        <f t="shared" si="59"/>
        <v>0.98503319446789983</v>
      </c>
      <c r="K498" s="44">
        <f ca="1">Gamma!D112</f>
        <v>3.713764129647166E-11</v>
      </c>
    </row>
    <row r="499" spans="4:11" x14ac:dyDescent="0.25">
      <c r="D499">
        <v>81</v>
      </c>
      <c r="E499" s="25">
        <f t="shared" si="60"/>
        <v>2.6036131034174125E-3</v>
      </c>
      <c r="F499">
        <f t="shared" si="56"/>
        <v>9.3618326599811148</v>
      </c>
      <c r="G499">
        <f t="shared" si="57"/>
        <v>9.3618326599811148</v>
      </c>
      <c r="H499">
        <f t="shared" si="58"/>
        <v>0.98534165742119983</v>
      </c>
      <c r="I499">
        <f t="shared" si="59"/>
        <v>0.98534165742119983</v>
      </c>
      <c r="K499" s="44">
        <f ca="1">Gamma!D113</f>
        <v>8.0900184943660575E-4</v>
      </c>
    </row>
    <row r="500" spans="4:11" x14ac:dyDescent="0.25">
      <c r="D500">
        <v>82</v>
      </c>
      <c r="E500" s="25">
        <f t="shared" si="60"/>
        <v>2.6361582672101303E-3</v>
      </c>
      <c r="F500">
        <f t="shared" si="56"/>
        <v>9.1353288063805866</v>
      </c>
      <c r="G500">
        <f t="shared" si="57"/>
        <v>9.1353288063805866</v>
      </c>
      <c r="H500">
        <f t="shared" si="58"/>
        <v>0.98564263533525764</v>
      </c>
      <c r="I500">
        <f t="shared" si="59"/>
        <v>0.98564263533525764</v>
      </c>
      <c r="K500" s="44">
        <f ca="1">Gamma!D114</f>
        <v>2.7361267938858938E-13</v>
      </c>
    </row>
    <row r="501" spans="4:11" x14ac:dyDescent="0.25">
      <c r="D501">
        <v>83</v>
      </c>
      <c r="E501" s="25">
        <f t="shared" si="60"/>
        <v>2.6687034310028481E-3</v>
      </c>
      <c r="F501">
        <f t="shared" si="56"/>
        <v>8.9155744203758633</v>
      </c>
      <c r="G501">
        <f t="shared" si="57"/>
        <v>8.9155744203758633</v>
      </c>
      <c r="H501">
        <f t="shared" si="58"/>
        <v>0.98593635218202669</v>
      </c>
      <c r="I501">
        <f t="shared" si="59"/>
        <v>0.98593635218202669</v>
      </c>
      <c r="K501" s="44">
        <f ca="1">Gamma!D115</f>
        <v>2.2009954868423458E-7</v>
      </c>
    </row>
    <row r="502" spans="4:11" x14ac:dyDescent="0.25">
      <c r="D502">
        <v>84</v>
      </c>
      <c r="E502" s="25">
        <f t="shared" si="60"/>
        <v>2.7012485947955659E-3</v>
      </c>
      <c r="F502">
        <f t="shared" si="56"/>
        <v>8.7023152705768414</v>
      </c>
      <c r="G502">
        <f t="shared" si="57"/>
        <v>8.7023152705768414</v>
      </c>
      <c r="H502">
        <f t="shared" si="58"/>
        <v>0.98622302345338175</v>
      </c>
      <c r="I502">
        <f t="shared" si="59"/>
        <v>0.98622302345338175</v>
      </c>
      <c r="K502" s="44">
        <f ca="1">Gamma!D116</f>
        <v>9.5665435323397596E-5</v>
      </c>
    </row>
    <row r="503" spans="4:11" x14ac:dyDescent="0.25">
      <c r="D503">
        <v>85</v>
      </c>
      <c r="E503" s="25">
        <f t="shared" si="60"/>
        <v>2.7337937585882838E-3</v>
      </c>
      <c r="F503">
        <f t="shared" si="56"/>
        <v>8.495309168462942</v>
      </c>
      <c r="G503">
        <f t="shared" si="57"/>
        <v>8.495309168462942</v>
      </c>
      <c r="H503">
        <f t="shared" si="58"/>
        <v>0.98650285656512715</v>
      </c>
      <c r="I503">
        <f t="shared" si="59"/>
        <v>0.98650285656512715</v>
      </c>
      <c r="K503" s="44">
        <f ca="1">Gamma!D117</f>
        <v>6.0342474266355715E-8</v>
      </c>
    </row>
    <row r="504" spans="4:11" x14ac:dyDescent="0.25">
      <c r="D504">
        <v>86</v>
      </c>
      <c r="E504" s="25">
        <f t="shared" si="60"/>
        <v>2.7663389223810016E-3</v>
      </c>
      <c r="F504">
        <f t="shared" si="56"/>
        <v>8.2943252697837799</v>
      </c>
      <c r="G504">
        <f t="shared" si="57"/>
        <v>8.2943252697837799</v>
      </c>
      <c r="H504">
        <f t="shared" si="58"/>
        <v>0.9867760512374304</v>
      </c>
      <c r="I504">
        <f t="shared" si="59"/>
        <v>0.9867760512374304</v>
      </c>
      <c r="K504" s="44">
        <f ca="1">Gamma!D118</f>
        <v>2.5055957075393612E-12</v>
      </c>
    </row>
    <row r="505" spans="4:11" x14ac:dyDescent="0.25">
      <c r="D505">
        <v>87</v>
      </c>
      <c r="E505" s="25">
        <f t="shared" si="60"/>
        <v>2.7988840861737194E-3</v>
      </c>
      <c r="F505">
        <f t="shared" si="56"/>
        <v>8.0991434240620226</v>
      </c>
      <c r="G505">
        <f t="shared" si="57"/>
        <v>8.0991434240620226</v>
      </c>
      <c r="H505">
        <f t="shared" si="58"/>
        <v>0.98704279985331278</v>
      </c>
      <c r="I505">
        <f t="shared" si="59"/>
        <v>0.98704279985331278</v>
      </c>
      <c r="K505" s="44">
        <f ca="1">Gamma!D119</f>
        <v>3.2053055398021069E-4</v>
      </c>
    </row>
    <row r="506" spans="4:11" x14ac:dyDescent="0.25">
      <c r="D506">
        <v>88</v>
      </c>
      <c r="E506" s="25">
        <f t="shared" si="60"/>
        <v>2.8314292499664372E-3</v>
      </c>
      <c r="F506">
        <f t="shared" si="56"/>
        <v>7.9095535683709386</v>
      </c>
      <c r="G506">
        <f t="shared" si="57"/>
        <v>7.9095535683709386</v>
      </c>
      <c r="H506">
        <f t="shared" si="58"/>
        <v>0.98730328779669951</v>
      </c>
      <c r="I506">
        <f t="shared" si="59"/>
        <v>0.98730328779669951</v>
      </c>
      <c r="K506" s="44">
        <f ca="1">Gamma!D120</f>
        <v>8.0115534245249985E-4</v>
      </c>
    </row>
    <row r="507" spans="4:11" x14ac:dyDescent="0.25">
      <c r="D507">
        <v>89</v>
      </c>
      <c r="E507" s="25">
        <f t="shared" si="60"/>
        <v>2.863974413759155E-3</v>
      </c>
      <c r="F507">
        <f t="shared" si="56"/>
        <v>7.7253551619038845</v>
      </c>
      <c r="G507">
        <f t="shared" si="57"/>
        <v>7.7253551619038845</v>
      </c>
      <c r="H507">
        <f t="shared" si="58"/>
        <v>0.98755769377141434</v>
      </c>
      <c r="I507">
        <f t="shared" si="59"/>
        <v>0.98755769377141434</v>
      </c>
      <c r="K507" s="44">
        <f ca="1">Gamma!D121</f>
        <v>4.4558609871496297E-17</v>
      </c>
    </row>
    <row r="508" spans="4:11" x14ac:dyDescent="0.25">
      <c r="D508">
        <v>90</v>
      </c>
      <c r="E508" s="25">
        <f t="shared" si="60"/>
        <v>2.8965195775518728E-3</v>
      </c>
      <c r="F508">
        <f t="shared" si="56"/>
        <v>7.5463566581629671</v>
      </c>
      <c r="G508">
        <f t="shared" si="57"/>
        <v>7.5463566581629671</v>
      </c>
      <c r="H508">
        <f t="shared" si="58"/>
        <v>0.9878061901023909</v>
      </c>
      <c r="I508">
        <f t="shared" si="59"/>
        <v>0.9878061901023909</v>
      </c>
      <c r="K508" s="44">
        <f ca="1">Gamma!D122</f>
        <v>1.3637601859534291E-4</v>
      </c>
    </row>
    <row r="509" spans="4:11" x14ac:dyDescent="0.25">
      <c r="D509">
        <v>91</v>
      </c>
      <c r="E509" s="25">
        <f t="shared" si="60"/>
        <v>2.9290647413445906E-3</v>
      </c>
      <c r="F509">
        <f t="shared" si="56"/>
        <v>7.3723750118736406</v>
      </c>
      <c r="G509">
        <f t="shared" si="57"/>
        <v>7.3723750118736406</v>
      </c>
      <c r="H509">
        <f t="shared" si="58"/>
        <v>0.98804894302028035</v>
      </c>
      <c r="I509">
        <f t="shared" si="59"/>
        <v>0.98804894302028035</v>
      </c>
      <c r="K509" s="44">
        <f ca="1">Gamma!D123</f>
        <v>1.4226980395567414E-13</v>
      </c>
    </row>
    <row r="510" spans="4:11" x14ac:dyDescent="0.25">
      <c r="D510">
        <v>92</v>
      </c>
      <c r="E510" s="25">
        <f t="shared" si="60"/>
        <v>2.9616099051373085E-3</v>
      </c>
      <c r="F510">
        <f t="shared" si="56"/>
        <v>7.2032352179838304</v>
      </c>
      <c r="G510">
        <f t="shared" si="57"/>
        <v>7.2032352179838304</v>
      </c>
      <c r="H510">
        <f t="shared" si="58"/>
        <v>0.98828611293053936</v>
      </c>
      <c r="I510">
        <f t="shared" si="59"/>
        <v>0.98828611293053936</v>
      </c>
      <c r="K510" s="44">
        <f ca="1">Gamma!D124</f>
        <v>8.1649747365811101E-4</v>
      </c>
    </row>
    <row r="511" spans="4:11" x14ac:dyDescent="0.25">
      <c r="D511">
        <v>93</v>
      </c>
      <c r="E511" s="25">
        <f t="shared" si="60"/>
        <v>2.9941550689300263E-3</v>
      </c>
      <c r="F511">
        <f t="shared" si="56"/>
        <v>7.0387698803337662</v>
      </c>
      <c r="G511">
        <f t="shared" si="57"/>
        <v>7.0387698803337662</v>
      </c>
      <c r="H511">
        <f t="shared" si="58"/>
        <v>0.98851785466800424</v>
      </c>
      <c r="I511">
        <f t="shared" si="59"/>
        <v>0.98851785466800424</v>
      </c>
      <c r="K511" s="44">
        <f ca="1">Gamma!D125</f>
        <v>1.1824927290253341E-5</v>
      </c>
    </row>
    <row r="512" spans="4:11" x14ac:dyDescent="0.25">
      <c r="D512">
        <v>94</v>
      </c>
      <c r="E512" s="25">
        <f t="shared" si="60"/>
        <v>3.0267002327227441E-3</v>
      </c>
      <c r="F512">
        <f t="shared" si="56"/>
        <v>6.8788188077882895</v>
      </c>
      <c r="G512">
        <f t="shared" si="57"/>
        <v>6.8788188077882895</v>
      </c>
      <c r="H512">
        <f t="shared" si="58"/>
        <v>0.98874431773788019</v>
      </c>
      <c r="I512">
        <f t="shared" si="59"/>
        <v>0.98874431773788019</v>
      </c>
      <c r="K512" s="44">
        <f ca="1">Gamma!D126</f>
        <v>1.1764005889461991E-10</v>
      </c>
    </row>
    <row r="513" spans="1:16" x14ac:dyDescent="0.25">
      <c r="D513">
        <v>95</v>
      </c>
      <c r="E513" s="25">
        <f t="shared" si="60"/>
        <v>3.0592453965154619E-3</v>
      </c>
      <c r="F513">
        <f t="shared" si="56"/>
        <v>6.72322863580965</v>
      </c>
      <c r="G513">
        <f t="shared" si="57"/>
        <v>6.72322863580965</v>
      </c>
      <c r="H513">
        <f t="shared" si="58"/>
        <v>0.98896564654400576</v>
      </c>
      <c r="I513">
        <f t="shared" si="59"/>
        <v>0.98896564654400576</v>
      </c>
      <c r="K513" s="44">
        <f ca="1">Gamma!D127</f>
        <v>2.4648479400616855E-9</v>
      </c>
    </row>
    <row r="514" spans="1:16" x14ac:dyDescent="0.25">
      <c r="D514">
        <v>96</v>
      </c>
      <c r="E514" s="25">
        <f t="shared" si="60"/>
        <v>3.0917905603081797E-3</v>
      </c>
      <c r="F514">
        <f t="shared" si="56"/>
        <v>6.571852471617361</v>
      </c>
      <c r="G514">
        <f t="shared" si="57"/>
        <v>6.571852471617361</v>
      </c>
      <c r="H514">
        <f t="shared" si="58"/>
        <v>0.98918198060518914</v>
      </c>
      <c r="I514">
        <f t="shared" si="59"/>
        <v>0.98918198060518914</v>
      </c>
      <c r="K514" s="44">
        <f ca="1">Gamma!D128</f>
        <v>8.4041341299563969E-11</v>
      </c>
    </row>
    <row r="515" spans="1:16" x14ac:dyDescent="0.25">
      <c r="D515">
        <v>97</v>
      </c>
      <c r="E515" s="25">
        <f t="shared" si="60"/>
        <v>3.1243357241008975E-3</v>
      </c>
      <c r="F515">
        <f t="shared" si="56"/>
        <v>6.4245495612347137</v>
      </c>
      <c r="G515">
        <f t="shared" si="57"/>
        <v>6.4245495612347137</v>
      </c>
      <c r="H515">
        <f t="shared" si="58"/>
        <v>0.98939345476035789</v>
      </c>
      <c r="I515">
        <f t="shared" si="59"/>
        <v>0.98939345476035789</v>
      </c>
      <c r="K515" s="44">
        <f ca="1">Gamma!D129</f>
        <v>3.0602669598937248E-12</v>
      </c>
    </row>
    <row r="516" spans="1:16" x14ac:dyDescent="0.25">
      <c r="D516">
        <v>98</v>
      </c>
      <c r="E516" s="25">
        <f t="shared" si="60"/>
        <v>3.1568808878936153E-3</v>
      </c>
      <c r="F516">
        <f t="shared" si="56"/>
        <v>6.2811849768604056</v>
      </c>
      <c r="G516">
        <f t="shared" si="57"/>
        <v>6.2811849768604056</v>
      </c>
      <c r="H516">
        <f t="shared" si="58"/>
        <v>0.9896001993632072</v>
      </c>
      <c r="I516">
        <f t="shared" si="59"/>
        <v>0.9896001993632072</v>
      </c>
      <c r="K516" s="44">
        <f ca="1">Gamma!D130</f>
        <v>4.2449636415800581E-17</v>
      </c>
    </row>
    <row r="517" spans="1:16" x14ac:dyDescent="0.25">
      <c r="D517">
        <v>99</v>
      </c>
      <c r="E517" s="25">
        <f t="shared" si="60"/>
        <v>3.1894260516863331E-3</v>
      </c>
      <c r="F517">
        <f t="shared" si="56"/>
        <v>6.141629323130017</v>
      </c>
      <c r="G517">
        <f t="shared" si="57"/>
        <v>6.141629323130017</v>
      </c>
      <c r="H517">
        <f t="shared" si="58"/>
        <v>0.98980234046698368</v>
      </c>
      <c r="I517">
        <f t="shared" si="59"/>
        <v>0.98980234046698368</v>
      </c>
      <c r="K517" s="44">
        <f ca="1">Gamma!D131</f>
        <v>3.7253430801370698E-7</v>
      </c>
    </row>
    <row r="518" spans="1:16" x14ac:dyDescent="0.25">
      <c r="D518">
        <v>100</v>
      </c>
      <c r="E518" s="25">
        <f t="shared" si="60"/>
        <v>3.221971215479051E-3</v>
      </c>
      <c r="F518">
        <f t="shared" si="56"/>
        <v>6.0057584609469101</v>
      </c>
      <c r="G518">
        <f t="shared" si="57"/>
        <v>6.0057584609469101</v>
      </c>
      <c r="H518">
        <f t="shared" si="58"/>
        <v>0.99</v>
      </c>
      <c r="I518">
        <f t="shared" si="59"/>
        <v>0.99</v>
      </c>
      <c r="K518" s="44">
        <f ca="1">Gamma!D132</f>
        <v>8.8502932503306009E-13</v>
      </c>
    </row>
    <row r="520" spans="1:16" x14ac:dyDescent="0.25">
      <c r="A520" s="6" t="s">
        <v>167</v>
      </c>
      <c r="B520" s="6"/>
      <c r="C520" s="6"/>
      <c r="D520" s="6" t="s">
        <v>149</v>
      </c>
      <c r="E520" s="6" t="s">
        <v>150</v>
      </c>
      <c r="F520" s="6" t="s">
        <v>151</v>
      </c>
      <c r="G520" s="6" t="s">
        <v>152</v>
      </c>
      <c r="H520" s="6" t="s">
        <v>39</v>
      </c>
      <c r="I520" s="6"/>
      <c r="J520" s="6"/>
      <c r="K520" s="6">
        <f>Normal!D542</f>
        <v>0</v>
      </c>
      <c r="L520" s="6"/>
      <c r="M520" s="6"/>
      <c r="N520" s="6"/>
      <c r="O520" s="6"/>
    </row>
    <row r="521" spans="1:16" x14ac:dyDescent="0.25">
      <c r="A521" t="s">
        <v>24</v>
      </c>
      <c r="B521" s="42">
        <f>Exponential!D20</f>
        <v>38.910505836575872</v>
      </c>
      <c r="D521">
        <v>1</v>
      </c>
      <c r="E521" s="25">
        <f>B525+0.001</f>
        <v>0.39206365188721559</v>
      </c>
      <c r="F521">
        <f>GAMMADIST(E521,1,1/$B$527,0)</f>
        <v>2.5442346123302356E-2</v>
      </c>
      <c r="G521">
        <f>IF(OR($E521&gt;$B$524,$E521&lt;$B$523),NA(),$F521)</f>
        <v>2.5442346123302356E-2</v>
      </c>
      <c r="H521">
        <f>GAMMADIST(E521,1,1/$B$527,1)</f>
        <v>1.0025442673060251E-2</v>
      </c>
      <c r="I521">
        <f>IF(OR($E521&gt;$B$524,$E521&lt;$B$523),NA(),$H521)</f>
        <v>1.0025442673060251E-2</v>
      </c>
      <c r="K521" s="44">
        <f ca="1">Exponential!D34</f>
        <v>2.4457061569451817</v>
      </c>
      <c r="L521" t="s">
        <v>28</v>
      </c>
      <c r="M521" s="42">
        <f ca="1">MIN(K521:K620)</f>
        <v>0.62485721301639285</v>
      </c>
    </row>
    <row r="522" spans="1:16" x14ac:dyDescent="0.25">
      <c r="A522" t="s">
        <v>25</v>
      </c>
      <c r="B522" s="42">
        <f>Exponential!D21</f>
        <v>38.910505836575872</v>
      </c>
      <c r="D522">
        <v>2</v>
      </c>
      <c r="E522" s="25">
        <f>($B$526-$B$525)/99+E521</f>
        <v>2.1981084776289084</v>
      </c>
      <c r="F522">
        <f t="shared" ref="F522:F585" si="61">GAMMADIST(E522,1,1/$B$527,0)</f>
        <v>2.4288417825513386E-2</v>
      </c>
      <c r="G522">
        <f t="shared" ref="G522:G585" si="62">IF(OR($E522&gt;$B$524,$E522&lt;$B$523),NA(),$F522)</f>
        <v>2.4288417825513386E-2</v>
      </c>
      <c r="H522">
        <f t="shared" ref="H522:H585" si="63">GAMMADIST(E522,1,1/$B$527,1)</f>
        <v>5.4925376439167652E-2</v>
      </c>
      <c r="I522">
        <f t="shared" ref="I522:I585" si="64">IF(OR($E522&gt;$B$524,$E522&lt;$B$523),NA(),$H522)</f>
        <v>5.4925376439167652E-2</v>
      </c>
      <c r="K522" s="44">
        <f ca="1">Exponential!D35</f>
        <v>66.596082392706876</v>
      </c>
      <c r="L522" t="s">
        <v>29</v>
      </c>
      <c r="M522" s="42">
        <f ca="1">MAX(K521:K620)</f>
        <v>256.80910638092331</v>
      </c>
    </row>
    <row r="523" spans="1:16" x14ac:dyDescent="0.25">
      <c r="A523" t="s">
        <v>26</v>
      </c>
      <c r="B523">
        <f>Exponential!D12</f>
        <v>0</v>
      </c>
      <c r="D523">
        <v>3</v>
      </c>
      <c r="E523" s="25">
        <f t="shared" ref="E523:E586" si="65">($B$526-$B$525)/99+E522</f>
        <v>4.0041533033706012</v>
      </c>
      <c r="F523">
        <f t="shared" si="61"/>
        <v>2.318682552339028E-2</v>
      </c>
      <c r="G523">
        <f t="shared" si="62"/>
        <v>2.318682552339028E-2</v>
      </c>
      <c r="H523">
        <f t="shared" si="63"/>
        <v>9.7788890140456095E-2</v>
      </c>
      <c r="I523">
        <f t="shared" si="64"/>
        <v>9.7788890140456095E-2</v>
      </c>
      <c r="K523" s="44">
        <f ca="1">Exponential!D36</f>
        <v>3.22872065875401</v>
      </c>
    </row>
    <row r="524" spans="1:16" x14ac:dyDescent="0.25">
      <c r="A524" t="s">
        <v>27</v>
      </c>
      <c r="B524">
        <f>Exponential!D13</f>
        <v>50</v>
      </c>
      <c r="D524">
        <v>4</v>
      </c>
      <c r="E524" s="25">
        <f t="shared" si="65"/>
        <v>5.8101981291122939</v>
      </c>
      <c r="F524">
        <f t="shared" si="61"/>
        <v>2.2135195537001964E-2</v>
      </c>
      <c r="G524">
        <f t="shared" si="62"/>
        <v>2.2135195537001964E-2</v>
      </c>
      <c r="H524">
        <f t="shared" si="63"/>
        <v>0.13870834486373698</v>
      </c>
      <c r="I524">
        <f t="shared" si="64"/>
        <v>0.13870834486373698</v>
      </c>
      <c r="K524" s="44">
        <f ca="1">Exponential!D37</f>
        <v>17.833948922182099</v>
      </c>
      <c r="M524" t="s">
        <v>53</v>
      </c>
      <c r="N524" t="s">
        <v>54</v>
      </c>
    </row>
    <row r="525" spans="1:16" x14ac:dyDescent="0.25">
      <c r="A525" t="s">
        <v>28</v>
      </c>
      <c r="B525">
        <f>GAMMAINV(0.01, 1,1/B527)</f>
        <v>0.39106365188721559</v>
      </c>
      <c r="D525">
        <v>5</v>
      </c>
      <c r="E525" s="25">
        <f t="shared" si="65"/>
        <v>7.6162429548539867</v>
      </c>
      <c r="F525">
        <f t="shared" si="61"/>
        <v>2.1131261843802009E-2</v>
      </c>
      <c r="G525">
        <f t="shared" si="62"/>
        <v>2.1131261843802009E-2</v>
      </c>
      <c r="H525">
        <f t="shared" si="63"/>
        <v>0.17777191269252898</v>
      </c>
      <c r="I525">
        <f t="shared" si="64"/>
        <v>0.17777191269252898</v>
      </c>
      <c r="K525" s="44">
        <f ca="1">Exponential!D38</f>
        <v>15.183274892712971</v>
      </c>
      <c r="L525">
        <v>1</v>
      </c>
      <c r="M525">
        <f ca="1">M521</f>
        <v>0.62485721301639285</v>
      </c>
      <c r="N525">
        <f ca="1">O525</f>
        <v>58</v>
      </c>
      <c r="O525">
        <f ca="1">COUNTIF($K$521:$K$620,"&lt;"&amp;M526)</f>
        <v>58</v>
      </c>
      <c r="P525">
        <f ca="1">M525</f>
        <v>0.62485721301639285</v>
      </c>
    </row>
    <row r="526" spans="1:16" x14ac:dyDescent="0.25">
      <c r="A526" t="s">
        <v>29</v>
      </c>
      <c r="B526">
        <f>GAMMAINV(0.99, 1,1/B527)</f>
        <v>179.18950140031481</v>
      </c>
      <c r="D526">
        <v>6</v>
      </c>
      <c r="E526" s="25">
        <f t="shared" si="65"/>
        <v>9.4222877805956795</v>
      </c>
      <c r="F526">
        <f t="shared" si="61"/>
        <v>2.0172861195867333E-2</v>
      </c>
      <c r="G526">
        <f t="shared" si="62"/>
        <v>2.0172861195867333E-2</v>
      </c>
      <c r="H526">
        <f t="shared" si="63"/>
        <v>0.21506376669776928</v>
      </c>
      <c r="I526">
        <f t="shared" si="64"/>
        <v>0.21506376669776928</v>
      </c>
      <c r="K526" s="44">
        <f ca="1">Exponential!D39</f>
        <v>33.667378984283673</v>
      </c>
      <c r="L526">
        <v>2</v>
      </c>
      <c r="M526">
        <f t="shared" ref="M526:M531" ca="1" si="66">M525+($M$522-$M$521)/7</f>
        <v>37.22260709414595</v>
      </c>
      <c r="N526">
        <f t="shared" ref="N526:N531" ca="1" si="67">O526-O525</f>
        <v>27</v>
      </c>
      <c r="O526">
        <f t="shared" ref="O526:O531" ca="1" si="68">COUNTIF($K$521:$K$620,"&lt;"&amp;M527)</f>
        <v>85</v>
      </c>
    </row>
    <row r="527" spans="1:16" x14ac:dyDescent="0.25">
      <c r="A527" t="s">
        <v>168</v>
      </c>
      <c r="B527">
        <f>Exponential!C5</f>
        <v>2.5700000000000001E-2</v>
      </c>
      <c r="D527">
        <v>7</v>
      </c>
      <c r="E527" s="25">
        <f t="shared" si="65"/>
        <v>11.228332606337373</v>
      </c>
      <c r="F527">
        <f t="shared" si="61"/>
        <v>1.9257928458592755E-2</v>
      </c>
      <c r="G527">
        <f t="shared" si="62"/>
        <v>1.9257928458592755E-2</v>
      </c>
      <c r="H527">
        <f t="shared" si="63"/>
        <v>0.25066426231156591</v>
      </c>
      <c r="I527">
        <f t="shared" si="64"/>
        <v>0.25066426231156591</v>
      </c>
      <c r="K527" s="44">
        <f ca="1">Exponential!D40</f>
        <v>36.198509028179082</v>
      </c>
      <c r="L527">
        <v>3</v>
      </c>
      <c r="M527">
        <f t="shared" ca="1" si="66"/>
        <v>73.820356975275502</v>
      </c>
      <c r="N527">
        <f t="shared" ca="1" si="67"/>
        <v>8</v>
      </c>
      <c r="O527">
        <f t="shared" ca="1" si="68"/>
        <v>93</v>
      </c>
    </row>
    <row r="528" spans="1:16" x14ac:dyDescent="0.25">
      <c r="D528">
        <v>8</v>
      </c>
      <c r="E528" s="25">
        <f t="shared" si="65"/>
        <v>13.034377432079067</v>
      </c>
      <c r="F528">
        <f t="shared" si="61"/>
        <v>1.8384492160797388E-2</v>
      </c>
      <c r="G528">
        <f t="shared" si="62"/>
        <v>1.8384492160797388E-2</v>
      </c>
      <c r="H528">
        <f t="shared" si="63"/>
        <v>0.28465011047480981</v>
      </c>
      <c r="I528">
        <f t="shared" si="64"/>
        <v>0.28465011047480981</v>
      </c>
      <c r="K528" s="44">
        <f ca="1">Exponential!D41</f>
        <v>62.845298814160373</v>
      </c>
      <c r="L528">
        <v>4</v>
      </c>
      <c r="M528">
        <f t="shared" ca="1" si="66"/>
        <v>110.41810685640506</v>
      </c>
      <c r="N528">
        <f t="shared" ca="1" si="67"/>
        <v>5</v>
      </c>
      <c r="O528">
        <f t="shared" ca="1" si="68"/>
        <v>98</v>
      </c>
      <c r="P528">
        <f ca="1">M528</f>
        <v>110.41810685640506</v>
      </c>
    </row>
    <row r="529" spans="4:16" x14ac:dyDescent="0.25">
      <c r="D529">
        <v>9</v>
      </c>
      <c r="E529" s="25">
        <f t="shared" si="65"/>
        <v>14.840422257820761</v>
      </c>
      <c r="F529">
        <f t="shared" si="61"/>
        <v>1.7550670246654281E-2</v>
      </c>
      <c r="G529">
        <f t="shared" si="62"/>
        <v>1.7550670246654281E-2</v>
      </c>
      <c r="H529">
        <f t="shared" si="63"/>
        <v>0.31709454293174</v>
      </c>
      <c r="I529">
        <f t="shared" si="64"/>
        <v>0.31709454293174</v>
      </c>
      <c r="K529" s="44">
        <f ca="1">Exponential!D42</f>
        <v>52.469006950309556</v>
      </c>
      <c r="L529">
        <v>5</v>
      </c>
      <c r="M529">
        <f t="shared" ca="1" si="66"/>
        <v>147.01585673753462</v>
      </c>
      <c r="N529">
        <f t="shared" ca="1" si="67"/>
        <v>0</v>
      </c>
      <c r="O529">
        <f t="shared" ca="1" si="68"/>
        <v>98</v>
      </c>
    </row>
    <row r="530" spans="4:16" x14ac:dyDescent="0.25">
      <c r="D530">
        <v>10</v>
      </c>
      <c r="E530" s="25">
        <f t="shared" si="65"/>
        <v>16.646467083562452</v>
      </c>
      <c r="F530">
        <f t="shared" si="61"/>
        <v>1.6754666020289782E-2</v>
      </c>
      <c r="G530">
        <f t="shared" si="62"/>
        <v>1.6754666020289782E-2</v>
      </c>
      <c r="H530">
        <f t="shared" si="63"/>
        <v>0.34806747002763494</v>
      </c>
      <c r="I530">
        <f t="shared" si="64"/>
        <v>0.34806747002763494</v>
      </c>
      <c r="K530" s="44">
        <f ca="1">Exponential!D43</f>
        <v>2.5429144111974042</v>
      </c>
      <c r="L530">
        <v>6</v>
      </c>
      <c r="M530">
        <f t="shared" ca="1" si="66"/>
        <v>183.61360661866416</v>
      </c>
      <c r="N530">
        <f t="shared" ca="1" si="67"/>
        <v>1</v>
      </c>
      <c r="O530">
        <f t="shared" ca="1" si="68"/>
        <v>99</v>
      </c>
    </row>
    <row r="531" spans="4:16" x14ac:dyDescent="0.25">
      <c r="D531">
        <v>11</v>
      </c>
      <c r="E531" s="25">
        <f t="shared" si="65"/>
        <v>18.452511909304146</v>
      </c>
      <c r="F531">
        <f t="shared" si="61"/>
        <v>1.5994764274314083E-2</v>
      </c>
      <c r="G531">
        <f t="shared" si="62"/>
        <v>1.5994764274314083E-2</v>
      </c>
      <c r="H531">
        <f t="shared" si="63"/>
        <v>0.37763563134964662</v>
      </c>
      <c r="I531">
        <f t="shared" si="64"/>
        <v>0.37763563134964662</v>
      </c>
      <c r="K531" s="44">
        <f ca="1">Exponential!D44</f>
        <v>46.691854757652749</v>
      </c>
      <c r="L531">
        <v>7</v>
      </c>
      <c r="M531">
        <f t="shared" ca="1" si="66"/>
        <v>220.21135649979374</v>
      </c>
      <c r="N531">
        <f t="shared" ca="1" si="67"/>
        <v>0</v>
      </c>
      <c r="O531">
        <f t="shared" ca="1" si="68"/>
        <v>99</v>
      </c>
      <c r="P531">
        <f ca="1">M532</f>
        <v>256.80910638092331</v>
      </c>
    </row>
    <row r="532" spans="4:16" x14ac:dyDescent="0.25">
      <c r="D532">
        <v>12</v>
      </c>
      <c r="E532" s="25">
        <f t="shared" si="65"/>
        <v>20.25855673504584</v>
      </c>
      <c r="F532">
        <f t="shared" si="61"/>
        <v>1.5269327593940861E-2</v>
      </c>
      <c r="G532">
        <f t="shared" si="62"/>
        <v>1.5269327593940861E-2</v>
      </c>
      <c r="H532">
        <f t="shared" si="63"/>
        <v>0.40586273953537499</v>
      </c>
      <c r="I532">
        <f t="shared" si="64"/>
        <v>0.40586273953537499</v>
      </c>
      <c r="K532" s="44">
        <f ca="1">Exponential!D45</f>
        <v>10.347883017501626</v>
      </c>
      <c r="L532">
        <v>8</v>
      </c>
      <c r="M532">
        <f ca="1">M531+($M$522-$M$521)/7</f>
        <v>256.80910638092331</v>
      </c>
    </row>
    <row r="533" spans="4:16" x14ac:dyDescent="0.25">
      <c r="D533">
        <v>13</v>
      </c>
      <c r="E533" s="25">
        <f t="shared" si="65"/>
        <v>22.064601560787533</v>
      </c>
      <c r="F533">
        <f t="shared" si="61"/>
        <v>1.457679282873222E-2</v>
      </c>
      <c r="G533">
        <f t="shared" si="62"/>
        <v>1.457679282873222E-2</v>
      </c>
      <c r="H533">
        <f t="shared" si="63"/>
        <v>0.43280961755905756</v>
      </c>
      <c r="I533">
        <f t="shared" si="64"/>
        <v>0.43280961755905756</v>
      </c>
      <c r="K533" s="44">
        <f ca="1">Exponential!D46</f>
        <v>24.328731904627649</v>
      </c>
    </row>
    <row r="534" spans="4:16" x14ac:dyDescent="0.25">
      <c r="D534">
        <v>14</v>
      </c>
      <c r="E534" s="25">
        <f t="shared" si="65"/>
        <v>23.870646386529227</v>
      </c>
      <c r="F534">
        <f t="shared" si="61"/>
        <v>1.3915667724366336E-2</v>
      </c>
      <c r="G534">
        <f t="shared" si="62"/>
        <v>1.3915667724366336E-2</v>
      </c>
      <c r="H534">
        <f t="shared" si="63"/>
        <v>0.45853432979119335</v>
      </c>
      <c r="I534">
        <f t="shared" si="64"/>
        <v>0.45853432979119335</v>
      </c>
      <c r="K534" s="44">
        <f ca="1">Exponential!D47</f>
        <v>10.04140387462299</v>
      </c>
    </row>
    <row r="535" spans="4:16" x14ac:dyDescent="0.25">
      <c r="D535">
        <v>15</v>
      </c>
      <c r="E535" s="25">
        <f t="shared" si="65"/>
        <v>25.676691212270921</v>
      </c>
      <c r="F535">
        <f t="shared" si="61"/>
        <v>1.3284527707170051E-2</v>
      </c>
      <c r="G535">
        <f t="shared" si="62"/>
        <v>1.3284527707170051E-2</v>
      </c>
      <c r="H535">
        <f t="shared" si="63"/>
        <v>0.4830923071140058</v>
      </c>
      <c r="I535">
        <f t="shared" si="64"/>
        <v>0.4830923071140058</v>
      </c>
      <c r="K535" s="44">
        <f ca="1">Exponential!D48</f>
        <v>46.694324956893567</v>
      </c>
    </row>
    <row r="536" spans="4:16" x14ac:dyDescent="0.25">
      <c r="D536">
        <v>16</v>
      </c>
      <c r="E536" s="25">
        <f t="shared" si="65"/>
        <v>27.482736038012614</v>
      </c>
      <c r="F536">
        <f t="shared" si="61"/>
        <v>1.2682012814487846E-2</v>
      </c>
      <c r="G536">
        <f t="shared" si="62"/>
        <v>1.2682012814487846E-2</v>
      </c>
      <c r="H536">
        <f t="shared" si="63"/>
        <v>0.50653646636234062</v>
      </c>
      <c r="I536">
        <f t="shared" si="64"/>
        <v>0.50653646636234062</v>
      </c>
      <c r="K536" s="44">
        <f ca="1">Exponential!D49</f>
        <v>20.97588784430652</v>
      </c>
      <c r="N536">
        <f ca="1">SUM(N525:N534)</f>
        <v>99</v>
      </c>
      <c r="O536">
        <f ca="1">SUM(O525:O534)</f>
        <v>630</v>
      </c>
    </row>
    <row r="537" spans="4:16" x14ac:dyDescent="0.25">
      <c r="D537">
        <v>17</v>
      </c>
      <c r="E537" s="25">
        <f t="shared" si="65"/>
        <v>29.288780863754308</v>
      </c>
      <c r="F537">
        <f t="shared" si="61"/>
        <v>1.2106824764272757E-2</v>
      </c>
      <c r="G537">
        <f t="shared" si="62"/>
        <v>1.2106824764272757E-2</v>
      </c>
      <c r="H537">
        <f t="shared" si="63"/>
        <v>0.5289173243473636</v>
      </c>
      <c r="I537">
        <f t="shared" si="64"/>
        <v>0.5289173243473636</v>
      </c>
      <c r="K537" s="44">
        <f ca="1">Exponential!D50</f>
        <v>120.3079178991663</v>
      </c>
    </row>
    <row r="538" spans="4:16" x14ac:dyDescent="0.25">
      <c r="D538">
        <v>18</v>
      </c>
      <c r="E538" s="25">
        <f t="shared" si="65"/>
        <v>31.094825689496002</v>
      </c>
      <c r="F538">
        <f t="shared" si="61"/>
        <v>1.1557724157584949E-2</v>
      </c>
      <c r="G538">
        <f t="shared" si="62"/>
        <v>1.1557724157584949E-2</v>
      </c>
      <c r="H538">
        <f t="shared" si="63"/>
        <v>0.5502831067087568</v>
      </c>
      <c r="I538">
        <f t="shared" si="64"/>
        <v>0.5502831067087568</v>
      </c>
      <c r="K538" s="44">
        <f ca="1">Exponential!D51</f>
        <v>88.520354996704327</v>
      </c>
    </row>
    <row r="539" spans="4:16" x14ac:dyDescent="0.25">
      <c r="D539">
        <v>19</v>
      </c>
      <c r="E539" s="25">
        <f t="shared" si="65"/>
        <v>32.900870515237692</v>
      </c>
      <c r="F539">
        <f t="shared" si="61"/>
        <v>1.1033527807969953E-2</v>
      </c>
      <c r="G539">
        <f t="shared" si="62"/>
        <v>1.1033527807969953E-2</v>
      </c>
      <c r="H539">
        <f t="shared" si="63"/>
        <v>0.57067985182996295</v>
      </c>
      <c r="I539">
        <f t="shared" si="64"/>
        <v>0.57067985182996295</v>
      </c>
      <c r="K539" s="44">
        <f ca="1">Exponential!D52</f>
        <v>17.604568616802389</v>
      </c>
    </row>
    <row r="540" spans="4:16" x14ac:dyDescent="0.25">
      <c r="D540">
        <v>20</v>
      </c>
      <c r="E540" s="25">
        <f t="shared" si="65"/>
        <v>34.706915340979386</v>
      </c>
      <c r="F540">
        <f t="shared" si="61"/>
        <v>1.0533106191961948E-2</v>
      </c>
      <c r="G540">
        <f t="shared" si="62"/>
        <v>1.0533106191961948E-2</v>
      </c>
      <c r="H540">
        <f t="shared" si="63"/>
        <v>0.59015151004039113</v>
      </c>
      <c r="I540">
        <f t="shared" si="64"/>
        <v>0.59015151004039113</v>
      </c>
      <c r="K540" s="44">
        <f ca="1">Exponential!D53</f>
        <v>18.679925174958804</v>
      </c>
    </row>
    <row r="541" spans="4:16" x14ac:dyDescent="0.25">
      <c r="D541">
        <v>21</v>
      </c>
      <c r="E541" s="25">
        <f t="shared" si="65"/>
        <v>36.512960166721079</v>
      </c>
      <c r="F541">
        <f t="shared" si="61"/>
        <v>1.0055381015218563E-2</v>
      </c>
      <c r="G541">
        <f t="shared" si="62"/>
        <v>1.0055381015218563E-2</v>
      </c>
      <c r="H541">
        <f t="shared" si="63"/>
        <v>0.60874003831834378</v>
      </c>
      <c r="I541">
        <f t="shared" si="64"/>
        <v>0.60874003831834378</v>
      </c>
      <c r="K541" s="44">
        <f ca="1">Exponential!D54</f>
        <v>2.8383087131784581</v>
      </c>
    </row>
    <row r="542" spans="4:16" x14ac:dyDescent="0.25">
      <c r="D542">
        <v>22</v>
      </c>
      <c r="E542" s="25">
        <f t="shared" si="65"/>
        <v>38.319004992462773</v>
      </c>
      <c r="F542">
        <f t="shared" si="61"/>
        <v>9.5993228890427166E-3</v>
      </c>
      <c r="G542">
        <f t="shared" si="62"/>
        <v>9.5993228890427166E-3</v>
      </c>
      <c r="H542">
        <f t="shared" si="63"/>
        <v>0.62648549069872694</v>
      </c>
      <c r="I542">
        <f t="shared" si="64"/>
        <v>0.62648549069872694</v>
      </c>
      <c r="K542" s="44">
        <f ca="1">Exponential!D55</f>
        <v>8.854729823926796</v>
      </c>
    </row>
    <row r="543" spans="4:16" x14ac:dyDescent="0.25">
      <c r="D543">
        <v>23</v>
      </c>
      <c r="E543" s="25">
        <f t="shared" si="65"/>
        <v>40.125049818204467</v>
      </c>
      <c r="F543">
        <f t="shared" si="61"/>
        <v>9.163949112284981E-3</v>
      </c>
      <c r="G543">
        <f t="shared" si="62"/>
        <v>9.163949112284981E-3</v>
      </c>
      <c r="H543">
        <f t="shared" si="63"/>
        <v>0.64342610458035088</v>
      </c>
      <c r="I543">
        <f t="shared" si="64"/>
        <v>0.64342610458035088</v>
      </c>
      <c r="K543" s="44">
        <f ca="1">Exponential!D56</f>
        <v>7.9280137721427097</v>
      </c>
    </row>
    <row r="544" spans="4:16" x14ac:dyDescent="0.25">
      <c r="D544">
        <v>24</v>
      </c>
      <c r="E544" s="25">
        <f t="shared" si="65"/>
        <v>41.93109464394616</v>
      </c>
      <c r="F544">
        <f t="shared" si="61"/>
        <v>8.7483215538469421E-3</v>
      </c>
      <c r="G544">
        <f t="shared" si="62"/>
        <v>8.7483215538469421E-3</v>
      </c>
      <c r="H544">
        <f t="shared" si="63"/>
        <v>0.65959838311879604</v>
      </c>
      <c r="I544">
        <f t="shared" si="64"/>
        <v>0.65959838311879604</v>
      </c>
      <c r="K544" s="44">
        <f ca="1">Exponential!D57</f>
        <v>9.6822303415314011</v>
      </c>
    </row>
    <row r="545" spans="4:11" x14ac:dyDescent="0.25">
      <c r="D545">
        <v>25</v>
      </c>
      <c r="E545" s="25">
        <f t="shared" si="65"/>
        <v>43.737139469687854</v>
      </c>
      <c r="F545">
        <f t="shared" si="61"/>
        <v>8.3515446312228438E-3</v>
      </c>
      <c r="G545">
        <f t="shared" si="62"/>
        <v>8.3515446312228438E-3</v>
      </c>
      <c r="H545">
        <f t="shared" si="63"/>
        <v>0.67503717388237972</v>
      </c>
      <c r="I545">
        <f t="shared" si="64"/>
        <v>0.67503717388237972</v>
      </c>
      <c r="K545" s="44">
        <f ca="1">Exponential!D58</f>
        <v>73.888498638445128</v>
      </c>
    </row>
    <row r="546" spans="4:11" x14ac:dyDescent="0.25">
      <c r="D546">
        <v>26</v>
      </c>
      <c r="E546" s="25">
        <f t="shared" si="65"/>
        <v>45.543184295429548</v>
      </c>
      <c r="F546">
        <f t="shared" si="61"/>
        <v>7.9727633807237398E-3</v>
      </c>
      <c r="G546">
        <f t="shared" si="62"/>
        <v>7.9727633807237398E-3</v>
      </c>
      <c r="H546">
        <f t="shared" si="63"/>
        <v>0.68977574394071051</v>
      </c>
      <c r="I546">
        <f t="shared" si="64"/>
        <v>0.68977574394071051</v>
      </c>
      <c r="K546" s="44">
        <f ca="1">Exponential!D59</f>
        <v>35.662650277028561</v>
      </c>
    </row>
    <row r="547" spans="4:11" x14ac:dyDescent="0.25">
      <c r="D547">
        <v>27</v>
      </c>
      <c r="E547" s="25">
        <f t="shared" si="65"/>
        <v>47.349229121171241</v>
      </c>
      <c r="F547">
        <f t="shared" si="61"/>
        <v>7.6111616152259214E-3</v>
      </c>
      <c r="G547">
        <f t="shared" si="62"/>
        <v>7.6111616152259214E-3</v>
      </c>
      <c r="H547">
        <f t="shared" si="63"/>
        <v>0.70384585154762958</v>
      </c>
      <c r="I547">
        <f t="shared" si="64"/>
        <v>0.70384585154762958</v>
      </c>
      <c r="K547" s="44">
        <f ca="1">Exponential!D60</f>
        <v>115.41748358193971</v>
      </c>
    </row>
    <row r="548" spans="4:11" x14ac:dyDescent="0.25">
      <c r="D548">
        <v>28</v>
      </c>
      <c r="E548" s="25">
        <f t="shared" si="65"/>
        <v>49.155273946912935</v>
      </c>
      <c r="F548">
        <f t="shared" si="61"/>
        <v>7.2659601654739923E-3</v>
      </c>
      <c r="G548">
        <f t="shared" si="62"/>
        <v>7.2659601654739923E-3</v>
      </c>
      <c r="H548">
        <f t="shared" si="63"/>
        <v>0.71727781457299633</v>
      </c>
      <c r="I548">
        <f t="shared" si="64"/>
        <v>0.71727781457299633</v>
      </c>
      <c r="K548" s="44">
        <f ca="1">Exponential!D61</f>
        <v>44.908596488851671</v>
      </c>
    </row>
    <row r="549" spans="4:11" x14ac:dyDescent="0.25">
      <c r="D549">
        <v>29</v>
      </c>
      <c r="E549" s="25">
        <f t="shared" si="65"/>
        <v>50.961318772654629</v>
      </c>
      <c r="F549">
        <f t="shared" si="61"/>
        <v>6.9364152011489998E-3</v>
      </c>
      <c r="G549" t="e">
        <f t="shared" si="62"/>
        <v>#N/A</v>
      </c>
      <c r="H549">
        <f t="shared" si="63"/>
        <v>0.73010057583077825</v>
      </c>
      <c r="I549" t="e">
        <f t="shared" si="64"/>
        <v>#N/A</v>
      </c>
      <c r="K549" s="44">
        <f ca="1">Exponential!D62</f>
        <v>125.82399414661036</v>
      </c>
    </row>
    <row r="550" spans="4:11" x14ac:dyDescent="0.25">
      <c r="D550">
        <v>30</v>
      </c>
      <c r="E550" s="25">
        <f t="shared" si="65"/>
        <v>52.767363598396322</v>
      </c>
      <c r="F550">
        <f t="shared" si="61"/>
        <v>6.6218166280838991E-3</v>
      </c>
      <c r="G550" t="e">
        <f t="shared" si="62"/>
        <v>#N/A</v>
      </c>
      <c r="H550">
        <f t="shared" si="63"/>
        <v>0.74234176544420638</v>
      </c>
      <c r="I550" t="e">
        <f t="shared" si="64"/>
        <v>#N/A</v>
      </c>
      <c r="K550" s="44">
        <f ca="1">Exponential!D63</f>
        <v>2.2592442794990668</v>
      </c>
    </row>
    <row r="551" spans="4:11" x14ac:dyDescent="0.25">
      <c r="D551">
        <v>31</v>
      </c>
      <c r="E551" s="25">
        <f t="shared" si="65"/>
        <v>54.573408424138016</v>
      </c>
      <c r="F551">
        <f t="shared" si="61"/>
        <v>6.3214865581727323E-3</v>
      </c>
      <c r="G551" t="e">
        <f t="shared" si="62"/>
        <v>#N/A</v>
      </c>
      <c r="H551">
        <f t="shared" si="63"/>
        <v>0.75402776038238395</v>
      </c>
      <c r="I551" t="e">
        <f t="shared" si="64"/>
        <v>#N/A</v>
      </c>
      <c r="K551" s="44">
        <f ca="1">Exponential!D64</f>
        <v>6.5537965229375397</v>
      </c>
    </row>
    <row r="552" spans="4:11" x14ac:dyDescent="0.25">
      <c r="D552">
        <v>32</v>
      </c>
      <c r="E552" s="25">
        <f t="shared" si="65"/>
        <v>56.37945324987971</v>
      </c>
      <c r="F552">
        <f t="shared" si="61"/>
        <v>6.0347778486765161E-3</v>
      </c>
      <c r="G552" t="e">
        <f t="shared" si="62"/>
        <v>#N/A</v>
      </c>
      <c r="H552">
        <f t="shared" si="63"/>
        <v>0.76518374129663358</v>
      </c>
      <c r="I552" t="e">
        <f t="shared" si="64"/>
        <v>#N/A</v>
      </c>
      <c r="K552" s="44">
        <f ca="1">Exponential!D65</f>
        <v>1.507569610571085</v>
      </c>
    </row>
    <row r="553" spans="4:11" x14ac:dyDescent="0.25">
      <c r="D553">
        <v>33</v>
      </c>
      <c r="E553" s="25">
        <f t="shared" si="65"/>
        <v>58.185498075621403</v>
      </c>
      <c r="F553">
        <f t="shared" si="61"/>
        <v>5.7610727077783714E-3</v>
      </c>
      <c r="G553" t="e">
        <f t="shared" si="62"/>
        <v>#N/A</v>
      </c>
      <c r="H553">
        <f t="shared" si="63"/>
        <v>0.7758337467790517</v>
      </c>
      <c r="I553" t="e">
        <f t="shared" si="64"/>
        <v>#N/A</v>
      </c>
      <c r="K553" s="44">
        <f ca="1">Exponential!D66</f>
        <v>46.841841827451987</v>
      </c>
    </row>
    <row r="554" spans="4:11" x14ac:dyDescent="0.25">
      <c r="D554">
        <v>34</v>
      </c>
      <c r="E554" s="25">
        <f t="shared" si="65"/>
        <v>59.991542901363097</v>
      </c>
      <c r="F554">
        <f t="shared" si="61"/>
        <v>5.4997813633831929E-3</v>
      </c>
      <c r="G554" t="e">
        <f t="shared" si="62"/>
        <v>#N/A</v>
      </c>
      <c r="H554">
        <f t="shared" si="63"/>
        <v>0.78600072516018704</v>
      </c>
      <c r="I554" t="e">
        <f t="shared" si="64"/>
        <v>#N/A</v>
      </c>
      <c r="K554" s="44">
        <f ca="1">Exponential!D67</f>
        <v>84.529667376567986</v>
      </c>
    </row>
    <row r="555" spans="4:11" x14ac:dyDescent="0.25">
      <c r="D555">
        <v>35</v>
      </c>
      <c r="E555" s="25">
        <f t="shared" si="65"/>
        <v>61.797587727104791</v>
      </c>
      <c r="F555">
        <f t="shared" si="61"/>
        <v>5.250340792293421E-3</v>
      </c>
      <c r="G555" t="e">
        <f t="shared" si="62"/>
        <v>#N/A</v>
      </c>
      <c r="H555">
        <f t="shared" si="63"/>
        <v>0.79570658395745453</v>
      </c>
      <c r="I555" t="e">
        <f t="shared" si="64"/>
        <v>#N/A</v>
      </c>
      <c r="K555" s="44">
        <f ca="1">Exponential!D68</f>
        <v>38.850850560570201</v>
      </c>
    </row>
    <row r="556" spans="4:11" x14ac:dyDescent="0.25">
      <c r="D556">
        <v>36</v>
      </c>
      <c r="E556" s="25">
        <f t="shared" si="65"/>
        <v>63.603632552846484</v>
      </c>
      <c r="F556">
        <f t="shared" si="61"/>
        <v>5.0122135070225782E-3</v>
      </c>
      <c r="G556" t="e">
        <f t="shared" si="62"/>
        <v>#N/A</v>
      </c>
      <c r="H556">
        <f t="shared" si="63"/>
        <v>0.80497223708083354</v>
      </c>
      <c r="I556" t="e">
        <f t="shared" si="64"/>
        <v>#N/A</v>
      </c>
      <c r="K556" s="44">
        <f ca="1">Exponential!D69</f>
        <v>24.922139792457081</v>
      </c>
    </row>
    <row r="557" spans="4:11" x14ac:dyDescent="0.25">
      <c r="D557">
        <v>37</v>
      </c>
      <c r="E557" s="25">
        <f t="shared" si="65"/>
        <v>65.409677378588171</v>
      </c>
      <c r="F557">
        <f t="shared" si="61"/>
        <v>4.7848863976324542E-3</v>
      </c>
      <c r="G557" t="e">
        <f t="shared" si="62"/>
        <v>#N/A</v>
      </c>
      <c r="H557">
        <f t="shared" si="63"/>
        <v>0.81381764989756988</v>
      </c>
      <c r="I557" t="e">
        <f t="shared" si="64"/>
        <v>#N/A</v>
      </c>
      <c r="K557" s="44">
        <f ca="1">Exponential!D70</f>
        <v>69.980331218625352</v>
      </c>
    </row>
    <row r="558" spans="4:11" x14ac:dyDescent="0.25">
      <c r="D558">
        <v>38</v>
      </c>
      <c r="E558" s="25">
        <f t="shared" si="65"/>
        <v>67.215722204329865</v>
      </c>
      <c r="F558">
        <f t="shared" si="61"/>
        <v>4.5678696260983004E-3</v>
      </c>
      <c r="G558" t="e">
        <f t="shared" si="62"/>
        <v>#N/A</v>
      </c>
      <c r="H558">
        <f t="shared" si="63"/>
        <v>0.82226188225298447</v>
      </c>
      <c r="I558" t="e">
        <f t="shared" si="64"/>
        <v>#N/A</v>
      </c>
      <c r="K558" s="44">
        <f ca="1">Exponential!D71</f>
        <v>50.028563903786839</v>
      </c>
    </row>
    <row r="559" spans="4:11" x14ac:dyDescent="0.25">
      <c r="D559">
        <v>39</v>
      </c>
      <c r="E559" s="25">
        <f t="shared" si="65"/>
        <v>69.021767030071558</v>
      </c>
      <c r="F559">
        <f t="shared" si="61"/>
        <v>4.3606955708197321E-3</v>
      </c>
      <c r="G559" t="e">
        <f t="shared" si="62"/>
        <v>#N/A</v>
      </c>
      <c r="H559">
        <f t="shared" si="63"/>
        <v>0.83032312954008825</v>
      </c>
      <c r="I559" t="e">
        <f t="shared" si="64"/>
        <v>#N/A</v>
      </c>
      <c r="K559" s="44">
        <f ca="1">Exponential!D72</f>
        <v>14.016709478415658</v>
      </c>
    </row>
    <row r="560" spans="4:11" x14ac:dyDescent="0.25">
      <c r="D560">
        <v>40</v>
      </c>
      <c r="E560" s="25">
        <f t="shared" si="65"/>
        <v>70.827811855813252</v>
      </c>
      <c r="F560">
        <f t="shared" si="61"/>
        <v>4.1629178190029223E-3</v>
      </c>
      <c r="G560" t="e">
        <f t="shared" si="62"/>
        <v>#N/A</v>
      </c>
      <c r="H560">
        <f t="shared" si="63"/>
        <v>0.83801876190650104</v>
      </c>
      <c r="I560" t="e">
        <f t="shared" si="64"/>
        <v>#N/A</v>
      </c>
      <c r="K560" s="44">
        <f ca="1">Exponential!D73</f>
        <v>11.668035743010153</v>
      </c>
    </row>
    <row r="561" spans="4:11" x14ac:dyDescent="0.25">
      <c r="D561">
        <v>41</v>
      </c>
      <c r="E561" s="25">
        <f t="shared" si="65"/>
        <v>72.633856681554946</v>
      </c>
      <c r="F561">
        <f t="shared" si="61"/>
        <v>3.9741102047429417E-3</v>
      </c>
      <c r="G561" t="e">
        <f t="shared" si="62"/>
        <v>#N/A</v>
      </c>
      <c r="H561">
        <f t="shared" si="63"/>
        <v>0.84536536168315402</v>
      </c>
      <c r="I561" t="e">
        <f t="shared" si="64"/>
        <v>#N/A</v>
      </c>
      <c r="K561" s="44">
        <f ca="1">Exponential!D74</f>
        <v>10.816869198093926</v>
      </c>
    </row>
    <row r="562" spans="4:11" x14ac:dyDescent="0.25">
      <c r="D562">
        <v>42</v>
      </c>
      <c r="E562" s="25">
        <f t="shared" si="65"/>
        <v>74.439901507296639</v>
      </c>
      <c r="F562">
        <f t="shared" si="61"/>
        <v>3.7938658907335256E-3</v>
      </c>
      <c r="G562" t="e">
        <f t="shared" si="62"/>
        <v>#N/A</v>
      </c>
      <c r="H562">
        <f t="shared" si="63"/>
        <v>0.85237875911542704</v>
      </c>
      <c r="I562" t="e">
        <f t="shared" si="64"/>
        <v>#N/A</v>
      </c>
      <c r="K562" s="44">
        <f ca="1">Exponential!D75</f>
        <v>0.98581937126618335</v>
      </c>
    </row>
    <row r="563" spans="4:11" x14ac:dyDescent="0.25">
      <c r="D563">
        <v>43</v>
      </c>
      <c r="E563" s="25">
        <f t="shared" si="65"/>
        <v>76.245946333038333</v>
      </c>
      <c r="F563">
        <f t="shared" si="61"/>
        <v>3.6217964916255506E-3</v>
      </c>
      <c r="G563" t="e">
        <f t="shared" si="62"/>
        <v>#N/A</v>
      </c>
      <c r="H563">
        <f t="shared" si="63"/>
        <v>0.85907406647371398</v>
      </c>
      <c r="I563" t="e">
        <f t="shared" si="64"/>
        <v>#N/A</v>
      </c>
      <c r="K563" s="44">
        <f ca="1">Exponential!D76</f>
        <v>12.468579074201662</v>
      </c>
    </row>
    <row r="564" spans="4:11" x14ac:dyDescent="0.25">
      <c r="D564">
        <v>44</v>
      </c>
      <c r="E564" s="25">
        <f t="shared" si="65"/>
        <v>78.051991158780027</v>
      </c>
      <c r="F564">
        <f t="shared" si="61"/>
        <v>3.4575312371452763E-3</v>
      </c>
      <c r="G564" t="e">
        <f t="shared" si="62"/>
        <v>#N/A</v>
      </c>
      <c r="H564">
        <f t="shared" si="63"/>
        <v>0.86546571061691535</v>
      </c>
      <c r="I564" t="e">
        <f t="shared" si="64"/>
        <v>#N/A</v>
      </c>
      <c r="K564" s="44">
        <f ca="1">Exponential!D77</f>
        <v>5.698452208584146</v>
      </c>
    </row>
    <row r="565" spans="4:11" x14ac:dyDescent="0.25">
      <c r="D565">
        <v>45</v>
      </c>
      <c r="E565" s="25">
        <f t="shared" si="65"/>
        <v>79.85803598452172</v>
      </c>
      <c r="F565">
        <f t="shared" si="61"/>
        <v>3.3007161731690403E-3</v>
      </c>
      <c r="G565" t="e">
        <f t="shared" si="62"/>
        <v>#N/A</v>
      </c>
      <c r="H565">
        <f t="shared" si="63"/>
        <v>0.87156746407902563</v>
      </c>
      <c r="I565" t="e">
        <f t="shared" si="64"/>
        <v>#N/A</v>
      </c>
      <c r="K565" s="44">
        <f ca="1">Exponential!D78</f>
        <v>5.2340204134365758</v>
      </c>
    </row>
    <row r="566" spans="4:11" x14ac:dyDescent="0.25">
      <c r="D566">
        <v>46</v>
      </c>
      <c r="E566" s="25">
        <f t="shared" si="65"/>
        <v>81.664080810263414</v>
      </c>
      <c r="F566">
        <f t="shared" si="61"/>
        <v>3.1510133990329302E-3</v>
      </c>
      <c r="G566" t="e">
        <f t="shared" si="62"/>
        <v>#N/A</v>
      </c>
      <c r="H566">
        <f t="shared" si="63"/>
        <v>0.8773924747458004</v>
      </c>
      <c r="I566" t="e">
        <f t="shared" si="64"/>
        <v>#N/A</v>
      </c>
      <c r="K566" s="44">
        <f ca="1">Exponential!D79</f>
        <v>61.106531023392222</v>
      </c>
    </row>
    <row r="567" spans="4:11" x14ac:dyDescent="0.25">
      <c r="D567">
        <v>47</v>
      </c>
      <c r="E567" s="25">
        <f t="shared" si="65"/>
        <v>83.470125636005108</v>
      </c>
      <c r="F567">
        <f t="shared" si="61"/>
        <v>3.0081003394339945E-3</v>
      </c>
      <c r="G567" t="e">
        <f t="shared" si="62"/>
        <v>#N/A</v>
      </c>
      <c r="H567">
        <f t="shared" si="63"/>
        <v>0.88295329418544766</v>
      </c>
      <c r="I567" t="e">
        <f t="shared" si="64"/>
        <v>#N/A</v>
      </c>
      <c r="K567" s="44">
        <f ca="1">Exponential!D80</f>
        <v>80.480217323069098</v>
      </c>
    </row>
    <row r="568" spans="4:11" x14ac:dyDescent="0.25">
      <c r="D568">
        <v>48</v>
      </c>
      <c r="E568" s="25">
        <f t="shared" si="65"/>
        <v>85.276170461746801</v>
      </c>
      <c r="F568">
        <f t="shared" si="61"/>
        <v>2.8716690493540949E-3</v>
      </c>
      <c r="G568" t="e">
        <f t="shared" si="62"/>
        <v>#N/A</v>
      </c>
      <c r="H568">
        <f t="shared" si="63"/>
        <v>0.88826190469439315</v>
      </c>
      <c r="I568" t="e">
        <f t="shared" si="64"/>
        <v>#N/A</v>
      </c>
      <c r="K568" s="44">
        <f ca="1">Exponential!D81</f>
        <v>24.940256391033238</v>
      </c>
    </row>
    <row r="569" spans="4:11" x14ac:dyDescent="0.25">
      <c r="D569">
        <v>49</v>
      </c>
      <c r="E569" s="25">
        <f t="shared" si="65"/>
        <v>87.082215287488495</v>
      </c>
      <c r="F569">
        <f t="shared" si="61"/>
        <v>2.7414255505087029E-3</v>
      </c>
      <c r="G569" t="e">
        <f t="shared" si="62"/>
        <v>#N/A</v>
      </c>
      <c r="H569">
        <f t="shared" si="63"/>
        <v>0.89332974511639285</v>
      </c>
      <c r="I569" t="e">
        <f t="shared" si="64"/>
        <v>#N/A</v>
      </c>
      <c r="K569" s="44">
        <f ca="1">Exponential!D82</f>
        <v>63.453282014424218</v>
      </c>
    </row>
    <row r="570" spans="4:11" x14ac:dyDescent="0.25">
      <c r="D570">
        <v>50</v>
      </c>
      <c r="E570" s="25">
        <f t="shared" si="65"/>
        <v>88.888260113230189</v>
      </c>
      <c r="F570">
        <f t="shared" si="61"/>
        <v>2.6170891978907988E-3</v>
      </c>
      <c r="G570" t="e">
        <f t="shared" si="62"/>
        <v>#N/A</v>
      </c>
      <c r="H570">
        <f t="shared" si="63"/>
        <v>0.89816773549063045</v>
      </c>
      <c r="I570" t="e">
        <f t="shared" si="64"/>
        <v>#N/A</v>
      </c>
      <c r="K570" s="44">
        <f ca="1">Exponential!D83</f>
        <v>21.266055621626204</v>
      </c>
    </row>
    <row r="571" spans="4:11" x14ac:dyDescent="0.25">
      <c r="D571">
        <v>51</v>
      </c>
      <c r="E571" s="25">
        <f t="shared" si="65"/>
        <v>90.694304938971882</v>
      </c>
      <c r="F571">
        <f t="shared" si="61"/>
        <v>2.4983920750449584E-3</v>
      </c>
      <c r="G571" t="e">
        <f t="shared" si="62"/>
        <v>#N/A</v>
      </c>
      <c r="H571">
        <f t="shared" si="63"/>
        <v>0.90278630058190823</v>
      </c>
      <c r="I571" t="e">
        <f t="shared" si="64"/>
        <v>#N/A</v>
      </c>
      <c r="K571" s="44">
        <f ca="1">Exponential!D84</f>
        <v>65.006957999453064</v>
      </c>
    </row>
    <row r="572" spans="4:11" x14ac:dyDescent="0.25">
      <c r="D572">
        <v>52</v>
      </c>
      <c r="E572" s="25">
        <f t="shared" si="65"/>
        <v>92.500349764713576</v>
      </c>
      <c r="F572">
        <f t="shared" si="61"/>
        <v>2.3850784167685477E-3</v>
      </c>
      <c r="G572" t="e">
        <f t="shared" si="62"/>
        <v>#N/A</v>
      </c>
      <c r="H572">
        <f t="shared" si="63"/>
        <v>0.90719539234363633</v>
      </c>
      <c r="I572" t="e">
        <f t="shared" si="64"/>
        <v>#N/A</v>
      </c>
      <c r="K572" s="44">
        <f ca="1">Exponential!D85</f>
        <v>38.010696459547326</v>
      </c>
    </row>
    <row r="573" spans="4:11" x14ac:dyDescent="0.25">
      <c r="D573">
        <v>53</v>
      </c>
      <c r="E573" s="25">
        <f t="shared" si="65"/>
        <v>94.30639459045527</v>
      </c>
      <c r="F573">
        <f t="shared" si="61"/>
        <v>2.276904057996099E-3</v>
      </c>
      <c r="G573" t="e">
        <f t="shared" si="62"/>
        <v>#N/A</v>
      </c>
      <c r="H573">
        <f t="shared" si="63"/>
        <v>0.9114045113620195</v>
      </c>
      <c r="I573" t="e">
        <f t="shared" si="64"/>
        <v>#N/A</v>
      </c>
      <c r="K573" s="44">
        <f ca="1">Exponential!D86</f>
        <v>69.284109030680824</v>
      </c>
    </row>
    <row r="574" spans="4:11" x14ac:dyDescent="0.25">
      <c r="D574">
        <v>54</v>
      </c>
      <c r="E574" s="25">
        <f t="shared" si="65"/>
        <v>96.112439416196963</v>
      </c>
      <c r="F574">
        <f t="shared" si="61"/>
        <v>2.173635907679339E-3</v>
      </c>
      <c r="G574" t="e">
        <f t="shared" si="62"/>
        <v>#N/A</v>
      </c>
      <c r="H574">
        <f t="shared" si="63"/>
        <v>0.91542272732765217</v>
      </c>
      <c r="I574" t="e">
        <f t="shared" si="64"/>
        <v>#N/A</v>
      </c>
      <c r="K574" s="44">
        <f ca="1">Exponential!D87</f>
        <v>4.2538173128699093</v>
      </c>
    </row>
    <row r="575" spans="4:11" x14ac:dyDescent="0.25">
      <c r="D575">
        <v>55</v>
      </c>
      <c r="E575" s="25">
        <f t="shared" si="65"/>
        <v>97.918484241938657</v>
      </c>
      <c r="F575">
        <f t="shared" si="61"/>
        <v>2.0750514465291891E-3</v>
      </c>
      <c r="G575" t="e">
        <f t="shared" si="62"/>
        <v>#N/A</v>
      </c>
      <c r="H575">
        <f t="shared" si="63"/>
        <v>0.91925869857863085</v>
      </c>
      <c r="I575" t="e">
        <f t="shared" si="64"/>
        <v>#N/A</v>
      </c>
      <c r="K575" s="44">
        <f ca="1">Exponential!D88</f>
        <v>6.9990049505651992</v>
      </c>
    </row>
    <row r="576" spans="4:11" x14ac:dyDescent="0.25">
      <c r="D576">
        <v>56</v>
      </c>
      <c r="E576" s="25">
        <f t="shared" si="65"/>
        <v>99.724529067680351</v>
      </c>
      <c r="F576">
        <f t="shared" si="61"/>
        <v>1.9809382475374933E-3</v>
      </c>
      <c r="G576" t="e">
        <f t="shared" si="62"/>
        <v>#N/A</v>
      </c>
      <c r="H576">
        <f t="shared" si="63"/>
        <v>0.92292069075729599</v>
      </c>
      <c r="I576" t="e">
        <f t="shared" si="64"/>
        <v>#N/A</v>
      </c>
      <c r="K576" s="44">
        <f ca="1">Exponential!D89</f>
        <v>4.7351836138608592</v>
      </c>
    </row>
    <row r="577" spans="4:11" x14ac:dyDescent="0.25">
      <c r="D577">
        <v>57</v>
      </c>
      <c r="E577" s="25">
        <f t="shared" si="65"/>
        <v>101.53057389342204</v>
      </c>
      <c r="F577">
        <f t="shared" si="61"/>
        <v>1.8910935182453155E-3</v>
      </c>
      <c r="G577" t="e">
        <f t="shared" si="62"/>
        <v>#N/A</v>
      </c>
      <c r="H577">
        <f t="shared" si="63"/>
        <v>0.92641659462080483</v>
      </c>
      <c r="I577" t="e">
        <f t="shared" si="64"/>
        <v>#N/A</v>
      </c>
      <c r="K577" s="44">
        <f ca="1">Exponential!D90</f>
        <v>82.992348194354761</v>
      </c>
    </row>
    <row r="578" spans="4:11" x14ac:dyDescent="0.25">
      <c r="D578">
        <v>58</v>
      </c>
      <c r="E578" s="25">
        <f t="shared" si="65"/>
        <v>103.33661871916374</v>
      </c>
      <c r="F578">
        <f t="shared" si="61"/>
        <v>1.805323663771482E-3</v>
      </c>
      <c r="G578" t="e">
        <f t="shared" si="62"/>
        <v>#N/A</v>
      </c>
      <c r="H578">
        <f t="shared" si="63"/>
        <v>0.92975394304391124</v>
      </c>
      <c r="I578" t="e">
        <f t="shared" si="64"/>
        <v>#N/A</v>
      </c>
      <c r="K578" s="44">
        <f ca="1">Exponential!D91</f>
        <v>53.896403248816519</v>
      </c>
    </row>
    <row r="579" spans="4:11" x14ac:dyDescent="0.25">
      <c r="D579">
        <v>59</v>
      </c>
      <c r="E579" s="25">
        <f t="shared" si="65"/>
        <v>105.14266354490543</v>
      </c>
      <c r="F579">
        <f t="shared" si="61"/>
        <v>1.7234438696598071E-3</v>
      </c>
      <c r="G579" t="e">
        <f t="shared" si="62"/>
        <v>#N/A</v>
      </c>
      <c r="H579">
        <f t="shared" si="63"/>
        <v>0.93293992725059116</v>
      </c>
      <c r="I579" t="e">
        <f t="shared" si="64"/>
        <v>#N/A</v>
      </c>
      <c r="K579" s="44">
        <f ca="1">Exponential!D92</f>
        <v>44.719538610151595</v>
      </c>
    </row>
    <row r="580" spans="4:11" x14ac:dyDescent="0.25">
      <c r="D580">
        <v>60</v>
      </c>
      <c r="E580" s="25">
        <f t="shared" si="65"/>
        <v>106.94870837064713</v>
      </c>
      <c r="F580">
        <f t="shared" si="61"/>
        <v>1.6452777036461352E-3</v>
      </c>
      <c r="G580" t="e">
        <f t="shared" si="62"/>
        <v>#N/A</v>
      </c>
      <c r="H580">
        <f t="shared" si="63"/>
        <v>0.93598141230948895</v>
      </c>
      <c r="I580" t="e">
        <f t="shared" si="64"/>
        <v>#N/A</v>
      </c>
      <c r="K580" s="44">
        <f ca="1">Exponential!D93</f>
        <v>43.162015151214248</v>
      </c>
    </row>
    <row r="581" spans="4:11" x14ac:dyDescent="0.25">
      <c r="D581">
        <v>61</v>
      </c>
      <c r="E581" s="25">
        <f t="shared" si="65"/>
        <v>108.75475319638882</v>
      </c>
      <c r="F581">
        <f t="shared" si="61"/>
        <v>1.5706567354870835E-3</v>
      </c>
      <c r="G581" t="e">
        <f t="shared" si="62"/>
        <v>#N/A</v>
      </c>
      <c r="H581">
        <f t="shared" si="63"/>
        <v>0.93888495192657262</v>
      </c>
      <c r="I581" t="e">
        <f t="shared" si="64"/>
        <v>#N/A</v>
      </c>
      <c r="K581" s="44">
        <f ca="1">Exponential!D94</f>
        <v>76.199075761905888</v>
      </c>
    </row>
    <row r="582" spans="4:11" x14ac:dyDescent="0.25">
      <c r="D582">
        <v>62</v>
      </c>
      <c r="E582" s="25">
        <f t="shared" si="65"/>
        <v>110.56079802213051</v>
      </c>
      <c r="F582">
        <f t="shared" si="61"/>
        <v>1.4994201740313226E-3</v>
      </c>
      <c r="G582" t="e">
        <f t="shared" si="62"/>
        <v>#N/A</v>
      </c>
      <c r="H582">
        <f t="shared" si="63"/>
        <v>0.94165680256687456</v>
      </c>
      <c r="I582" t="e">
        <f t="shared" si="64"/>
        <v>#N/A</v>
      </c>
      <c r="K582" s="44">
        <f ca="1">Exponential!D95</f>
        <v>13.195222094196582</v>
      </c>
    </row>
    <row r="583" spans="4:11" x14ac:dyDescent="0.25">
      <c r="D583">
        <v>63</v>
      </c>
      <c r="E583" s="25">
        <f t="shared" si="65"/>
        <v>112.36684284787221</v>
      </c>
      <c r="F583">
        <f t="shared" si="61"/>
        <v>1.4314145207513483E-3</v>
      </c>
      <c r="G583" t="e">
        <f t="shared" si="62"/>
        <v>#N/A</v>
      </c>
      <c r="H583">
        <f t="shared" si="63"/>
        <v>0.94430293693574519</v>
      </c>
      <c r="I583" t="e">
        <f t="shared" si="64"/>
        <v>#N/A</v>
      </c>
      <c r="K583" s="44">
        <f ca="1">Exponential!D96</f>
        <v>26.136670895432456</v>
      </c>
    </row>
    <row r="584" spans="4:11" x14ac:dyDescent="0.25">
      <c r="D584">
        <v>64</v>
      </c>
      <c r="E584" s="25">
        <f t="shared" si="65"/>
        <v>114.1728876736139</v>
      </c>
      <c r="F584">
        <f t="shared" si="61"/>
        <v>1.3664932389892003E-3</v>
      </c>
      <c r="G584" t="e">
        <f t="shared" si="62"/>
        <v>#N/A</v>
      </c>
      <c r="H584">
        <f t="shared" si="63"/>
        <v>0.94682905684866925</v>
      </c>
      <c r="I584" t="e">
        <f t="shared" si="64"/>
        <v>#N/A</v>
      </c>
      <c r="K584" s="44">
        <f ca="1">Exponential!D97</f>
        <v>12.96910400583174</v>
      </c>
    </row>
    <row r="585" spans="4:11" x14ac:dyDescent="0.25">
      <c r="D585">
        <v>65</v>
      </c>
      <c r="E585" s="25">
        <f t="shared" si="65"/>
        <v>115.97893249935559</v>
      </c>
      <c r="F585">
        <f t="shared" si="61"/>
        <v>1.304516438203414E-3</v>
      </c>
      <c r="G585" t="e">
        <f t="shared" si="62"/>
        <v>#N/A</v>
      </c>
      <c r="H585">
        <f t="shared" si="63"/>
        <v>0.94924060551737688</v>
      </c>
      <c r="I585" t="e">
        <f t="shared" si="64"/>
        <v>#N/A</v>
      </c>
      <c r="K585" s="44">
        <f ca="1">Exponential!D98</f>
        <v>93.234745005605603</v>
      </c>
    </row>
    <row r="586" spans="4:11" x14ac:dyDescent="0.25">
      <c r="D586">
        <v>66</v>
      </c>
      <c r="E586" s="25">
        <f t="shared" si="65"/>
        <v>117.78497732509729</v>
      </c>
      <c r="F586">
        <f t="shared" ref="F586:F620" si="69">GAMMADIST(E586,1,1/$B$527,0)</f>
        <v>1.2453505725368401E-3</v>
      </c>
      <c r="G586" t="e">
        <f t="shared" ref="G586:G620" si="70">IF(OR($E586&gt;$B$524,$E586&lt;$B$523),NA(),$F586)</f>
        <v>#N/A</v>
      </c>
      <c r="H586">
        <f t="shared" ref="H586:H620" si="71">GAMMADIST(E586,1,1/$B$527,1)</f>
        <v>0.95154277927872222</v>
      </c>
      <c r="I586" t="e">
        <f t="shared" ref="I586:I620" si="72">IF(OR($E586&gt;$B$524,$E586&lt;$B$523),NA(),$H586)</f>
        <v>#N/A</v>
      </c>
      <c r="K586" s="44">
        <f ca="1">Exponential!D99</f>
        <v>45.814668730379474</v>
      </c>
    </row>
    <row r="587" spans="4:11" x14ac:dyDescent="0.25">
      <c r="D587">
        <v>67</v>
      </c>
      <c r="E587" s="25">
        <f t="shared" ref="E587:E620" si="73">($B$526-$B$525)/99+E586</f>
        <v>119.59102215083898</v>
      </c>
      <c r="F587">
        <f t="shared" si="69"/>
        <v>1.1888681530558092E-3</v>
      </c>
      <c r="G587" t="e">
        <f t="shared" si="70"/>
        <v>#N/A</v>
      </c>
      <c r="H587">
        <f t="shared" si="71"/>
        <v>0.9537405387916027</v>
      </c>
      <c r="I587" t="e">
        <f t="shared" si="72"/>
        <v>#N/A</v>
      </c>
      <c r="K587" s="44">
        <f ca="1">Exponential!D100</f>
        <v>49.013095383546627</v>
      </c>
    </row>
    <row r="588" spans="4:11" x14ac:dyDescent="0.25">
      <c r="D588">
        <v>68</v>
      </c>
      <c r="E588" s="25">
        <f t="shared" si="73"/>
        <v>121.39706697658067</v>
      </c>
      <c r="F588">
        <f t="shared" si="69"/>
        <v>1.134947473040584E-3</v>
      </c>
      <c r="G588" t="e">
        <f t="shared" si="70"/>
        <v>#N/A</v>
      </c>
      <c r="H588">
        <f t="shared" si="71"/>
        <v>0.95583861972604733</v>
      </c>
      <c r="I588" t="e">
        <f t="shared" si="72"/>
        <v>#N/A</v>
      </c>
      <c r="K588" s="44">
        <f ca="1">Exponential!D101</f>
        <v>10.119294713648353</v>
      </c>
    </row>
    <row r="589" spans="4:11" x14ac:dyDescent="0.25">
      <c r="D589">
        <v>69</v>
      </c>
      <c r="E589" s="25">
        <f t="shared" si="73"/>
        <v>123.20311180232237</v>
      </c>
      <c r="F589">
        <f t="shared" si="69"/>
        <v>1.0834723457351619E-3</v>
      </c>
      <c r="G589" t="e">
        <f t="shared" si="70"/>
        <v>#N/A</v>
      </c>
      <c r="H589">
        <f t="shared" si="71"/>
        <v>0.95784154296750346</v>
      </c>
      <c r="I589" t="e">
        <f t="shared" si="72"/>
        <v>#N/A</v>
      </c>
      <c r="K589" s="44">
        <f ca="1">Exponential!D102</f>
        <v>14.054330368920557</v>
      </c>
    </row>
    <row r="590" spans="4:11" x14ac:dyDescent="0.25">
      <c r="D590">
        <v>70</v>
      </c>
      <c r="E590" s="25">
        <f t="shared" si="73"/>
        <v>125.00915662806406</v>
      </c>
      <c r="F590">
        <f t="shared" si="69"/>
        <v>1.0343318539913402E-3</v>
      </c>
      <c r="G590" t="e">
        <f t="shared" si="70"/>
        <v>#N/A</v>
      </c>
      <c r="H590">
        <f t="shared" si="71"/>
        <v>0.95975362435831357</v>
      </c>
      <c r="I590" t="e">
        <f t="shared" si="72"/>
        <v>#N/A</v>
      </c>
      <c r="K590" s="44">
        <f ca="1">Exponential!D103</f>
        <v>21.434145183257069</v>
      </c>
    </row>
    <row r="591" spans="4:11" x14ac:dyDescent="0.25">
      <c r="D591">
        <v>71</v>
      </c>
      <c r="E591" s="25">
        <f t="shared" si="73"/>
        <v>126.81520145380576</v>
      </c>
      <c r="F591">
        <f t="shared" si="69"/>
        <v>9.8742011126758383E-4</v>
      </c>
      <c r="G591" t="e">
        <f t="shared" si="70"/>
        <v>#N/A</v>
      </c>
      <c r="H591">
        <f t="shared" si="71"/>
        <v>0.9615789839973703</v>
      </c>
      <c r="I591" t="e">
        <f t="shared" si="72"/>
        <v>#N/A</v>
      </c>
      <c r="K591" s="44">
        <f ca="1">Exponential!D104</f>
        <v>132.58234088622686</v>
      </c>
    </row>
    <row r="592" spans="4:11" x14ac:dyDescent="0.25">
      <c r="D592">
        <v>72</v>
      </c>
      <c r="E592" s="25">
        <f t="shared" si="73"/>
        <v>128.62124627954745</v>
      </c>
      <c r="F592">
        <f t="shared" si="69"/>
        <v>9.4263603346769786E-4</v>
      </c>
      <c r="G592" t="e">
        <f t="shared" si="70"/>
        <v>#N/A</v>
      </c>
      <c r="H592">
        <f t="shared" si="71"/>
        <v>0.96332155511798845</v>
      </c>
      <c r="I592" t="e">
        <f t="shared" si="72"/>
        <v>#N/A</v>
      </c>
      <c r="K592" s="44">
        <f ca="1">Exponential!D105</f>
        <v>7.0098761214895013</v>
      </c>
    </row>
    <row r="593" spans="4:11" x14ac:dyDescent="0.25">
      <c r="D593">
        <v>73</v>
      </c>
      <c r="E593" s="25">
        <f t="shared" si="73"/>
        <v>130.42729110528913</v>
      </c>
      <c r="F593">
        <f t="shared" si="69"/>
        <v>8.9988312112768154E-4</v>
      </c>
      <c r="G593" t="e">
        <f t="shared" si="70"/>
        <v>#N/A</v>
      </c>
      <c r="H593">
        <f t="shared" si="71"/>
        <v>0.96498509256312526</v>
      </c>
      <c r="I593" t="e">
        <f t="shared" si="72"/>
        <v>#N/A</v>
      </c>
      <c r="K593" s="44">
        <f ca="1">Exponential!D106</f>
        <v>256.80910638092331</v>
      </c>
    </row>
    <row r="594" spans="4:11" x14ac:dyDescent="0.25">
      <c r="D594">
        <v>74</v>
      </c>
      <c r="E594" s="25">
        <f t="shared" si="73"/>
        <v>132.23333593103081</v>
      </c>
      <c r="F594">
        <f t="shared" si="69"/>
        <v>8.5906925148140629E-4</v>
      </c>
      <c r="G594" t="e">
        <f t="shared" si="70"/>
        <v>#N/A</v>
      </c>
      <c r="H594">
        <f t="shared" si="71"/>
        <v>0.96657318087620991</v>
      </c>
      <c r="I594" t="e">
        <f t="shared" si="72"/>
        <v>#N/A</v>
      </c>
      <c r="K594" s="44">
        <f ca="1">Exponential!D107</f>
        <v>79.316184024869841</v>
      </c>
    </row>
    <row r="595" spans="4:11" x14ac:dyDescent="0.25">
      <c r="D595">
        <v>75</v>
      </c>
      <c r="E595" s="25">
        <f t="shared" si="73"/>
        <v>134.03938075677249</v>
      </c>
      <c r="F595">
        <f t="shared" si="69"/>
        <v>8.2010647995709124E-4</v>
      </c>
      <c r="G595" t="e">
        <f t="shared" si="70"/>
        <v>#N/A</v>
      </c>
      <c r="H595">
        <f t="shared" si="71"/>
        <v>0.96808924202501589</v>
      </c>
      <c r="I595" t="e">
        <f t="shared" si="72"/>
        <v>#N/A</v>
      </c>
      <c r="K595" s="44">
        <f ca="1">Exponential!D108</f>
        <v>66.419179822932676</v>
      </c>
    </row>
    <row r="596" spans="4:11" x14ac:dyDescent="0.25">
      <c r="D596">
        <v>76</v>
      </c>
      <c r="E596" s="25">
        <f t="shared" si="73"/>
        <v>135.84542558251417</v>
      </c>
      <c r="F596">
        <f t="shared" si="69"/>
        <v>7.8291085067682515E-4</v>
      </c>
      <c r="G596" t="e">
        <f t="shared" si="70"/>
        <v>#N/A</v>
      </c>
      <c r="H596">
        <f t="shared" si="71"/>
        <v>0.96953654277522083</v>
      </c>
      <c r="I596" t="e">
        <f t="shared" si="72"/>
        <v>#N/A</v>
      </c>
      <c r="K596" s="44">
        <f ca="1">Exponential!D109</f>
        <v>24.401964103757379</v>
      </c>
    </row>
    <row r="597" spans="4:11" x14ac:dyDescent="0.25">
      <c r="D597">
        <v>77</v>
      </c>
      <c r="E597" s="25">
        <f t="shared" si="73"/>
        <v>137.65147040825585</v>
      </c>
      <c r="F597">
        <f t="shared" si="69"/>
        <v>7.474022155508147E-4</v>
      </c>
      <c r="G597" t="e">
        <f t="shared" si="70"/>
        <v>#N/A</v>
      </c>
      <c r="H597">
        <f t="shared" si="71"/>
        <v>0.97091820172954024</v>
      </c>
      <c r="I597" t="e">
        <f t="shared" si="72"/>
        <v>#N/A</v>
      </c>
      <c r="K597" s="44">
        <f ca="1">Exponential!D110</f>
        <v>4.7736531419921606</v>
      </c>
    </row>
    <row r="598" spans="4:11" x14ac:dyDescent="0.25">
      <c r="D598">
        <v>78</v>
      </c>
      <c r="E598" s="25">
        <f t="shared" si="73"/>
        <v>139.45751523399753</v>
      </c>
      <c r="F598">
        <f t="shared" si="69"/>
        <v>7.1350406157654964E-4</v>
      </c>
      <c r="G598" t="e">
        <f t="shared" si="70"/>
        <v>#N/A</v>
      </c>
      <c r="H598">
        <f t="shared" si="71"/>
        <v>0.97223719604760506</v>
      </c>
      <c r="I598" t="e">
        <f t="shared" si="72"/>
        <v>#N/A</v>
      </c>
      <c r="K598" s="44">
        <f ca="1">Exponential!D111</f>
        <v>6.2749164674119875</v>
      </c>
    </row>
    <row r="599" spans="4:11" x14ac:dyDescent="0.25">
      <c r="D599">
        <v>79</v>
      </c>
      <c r="E599" s="25">
        <f t="shared" si="73"/>
        <v>141.26356005973921</v>
      </c>
      <c r="F599">
        <f t="shared" si="69"/>
        <v>6.8114334597074917E-4</v>
      </c>
      <c r="G599" t="e">
        <f t="shared" si="70"/>
        <v>#N/A</v>
      </c>
      <c r="H599">
        <f t="shared" si="71"/>
        <v>0.97349636786106031</v>
      </c>
      <c r="I599" t="e">
        <f t="shared" si="72"/>
        <v>#N/A</v>
      </c>
      <c r="K599" s="44">
        <f ca="1">Exponential!D112</f>
        <v>34.026348341650547</v>
      </c>
    </row>
    <row r="600" spans="4:11" x14ac:dyDescent="0.25">
      <c r="D600">
        <v>80</v>
      </c>
      <c r="E600" s="25">
        <f t="shared" si="73"/>
        <v>143.06960488548089</v>
      </c>
      <c r="F600">
        <f t="shared" si="69"/>
        <v>6.5025033877883691E-4</v>
      </c>
      <c r="G600" t="e">
        <f t="shared" si="70"/>
        <v>#N/A</v>
      </c>
      <c r="H600">
        <f t="shared" si="71"/>
        <v>0.97469843039771065</v>
      </c>
      <c r="I600" t="e">
        <f t="shared" si="72"/>
        <v>#N/A</v>
      </c>
      <c r="K600" s="44">
        <f ca="1">Exponential!D113</f>
        <v>199.06222695631178</v>
      </c>
    </row>
    <row r="601" spans="4:11" x14ac:dyDescent="0.25">
      <c r="D601">
        <v>81</v>
      </c>
      <c r="E601" s="25">
        <f t="shared" si="73"/>
        <v>144.87564971122256</v>
      </c>
      <c r="F601">
        <f t="shared" si="69"/>
        <v>6.2075847262280982E-4</v>
      </c>
      <c r="G601" t="e">
        <f t="shared" si="70"/>
        <v>#N/A</v>
      </c>
      <c r="H601">
        <f t="shared" si="71"/>
        <v>0.97584597382790628</v>
      </c>
      <c r="I601" t="e">
        <f t="shared" si="72"/>
        <v>#N/A</v>
      </c>
      <c r="K601" s="44">
        <f ca="1">Exponential!D114</f>
        <v>4.1104308252032489</v>
      </c>
    </row>
    <row r="602" spans="4:11" x14ac:dyDescent="0.25">
      <c r="D602">
        <v>82</v>
      </c>
      <c r="E602" s="25">
        <f t="shared" si="73"/>
        <v>146.68169453696424</v>
      </c>
      <c r="F602">
        <f t="shared" si="69"/>
        <v>5.9260419926373273E-4</v>
      </c>
      <c r="G602" t="e">
        <f t="shared" si="70"/>
        <v>#N/A</v>
      </c>
      <c r="H602">
        <f t="shared" si="71"/>
        <v>0.97694147084576921</v>
      </c>
      <c r="I602" t="e">
        <f t="shared" si="72"/>
        <v>#N/A</v>
      </c>
      <c r="K602" s="44">
        <f ca="1">Exponential!D115</f>
        <v>35.139274572331388</v>
      </c>
    </row>
    <row r="603" spans="4:11" x14ac:dyDescent="0.25">
      <c r="D603">
        <v>83</v>
      </c>
      <c r="E603" s="25">
        <f t="shared" si="73"/>
        <v>148.48773936270592</v>
      </c>
      <c r="F603">
        <f t="shared" si="69"/>
        <v>5.6572685266979253E-4</v>
      </c>
      <c r="G603" t="e">
        <f t="shared" si="70"/>
        <v>#N/A</v>
      </c>
      <c r="H603">
        <f t="shared" si="71"/>
        <v>0.97798728199728435</v>
      </c>
      <c r="I603" t="e">
        <f t="shared" si="72"/>
        <v>#N/A</v>
      </c>
      <c r="K603" s="44">
        <f ca="1">Exponential!D116</f>
        <v>4.553900546516231</v>
      </c>
    </row>
    <row r="604" spans="4:11" x14ac:dyDescent="0.25">
      <c r="D604">
        <v>84</v>
      </c>
      <c r="E604" s="25">
        <f t="shared" si="73"/>
        <v>150.2937841884476</v>
      </c>
      <c r="F604">
        <f t="shared" si="69"/>
        <v>5.4006851829484844E-4</v>
      </c>
      <c r="G604" t="e">
        <f t="shared" si="70"/>
        <v>#N/A</v>
      </c>
      <c r="H604">
        <f t="shared" si="71"/>
        <v>0.97898566076673743</v>
      </c>
      <c r="I604" t="e">
        <f t="shared" si="72"/>
        <v>#N/A</v>
      </c>
      <c r="K604" s="44">
        <f ca="1">Exponential!D117</f>
        <v>36.663181338234629</v>
      </c>
    </row>
    <row r="605" spans="4:11" x14ac:dyDescent="0.25">
      <c r="D605">
        <v>85</v>
      </c>
      <c r="E605" s="25">
        <f t="shared" si="73"/>
        <v>152.09982901418928</v>
      </c>
      <c r="F605">
        <f t="shared" si="69"/>
        <v>5.1557390828580569E-4</v>
      </c>
      <c r="G605" t="e">
        <f t="shared" si="70"/>
        <v>#N/A</v>
      </c>
      <c r="H605">
        <f t="shared" si="71"/>
        <v>0.97993875843245892</v>
      </c>
      <c r="I605" t="e">
        <f t="shared" si="72"/>
        <v>#N/A</v>
      </c>
      <c r="K605" s="44">
        <f ca="1">Exponential!D118</f>
        <v>15.324660399668321</v>
      </c>
    </row>
    <row r="606" spans="4:11" x14ac:dyDescent="0.25">
      <c r="D606">
        <v>86</v>
      </c>
      <c r="E606" s="25">
        <f t="shared" si="73"/>
        <v>153.90587383993096</v>
      </c>
      <c r="F606">
        <f t="shared" si="69"/>
        <v>4.9219024234991367E-4</v>
      </c>
      <c r="G606" t="e">
        <f t="shared" si="70"/>
        <v>#N/A</v>
      </c>
      <c r="H606">
        <f t="shared" si="71"/>
        <v>0.98084862870233802</v>
      </c>
      <c r="I606" t="e">
        <f t="shared" si="72"/>
        <v>#N/A</v>
      </c>
      <c r="K606" s="44">
        <f ca="1">Exponential!D119</f>
        <v>29.343196361532147</v>
      </c>
    </row>
    <row r="607" spans="4:11" x14ac:dyDescent="0.25">
      <c r="D607">
        <v>87</v>
      </c>
      <c r="E607" s="25">
        <f t="shared" si="73"/>
        <v>155.71191866567264</v>
      </c>
      <c r="F607">
        <f t="shared" si="69"/>
        <v>4.698671340252854E-4</v>
      </c>
      <c r="G607" t="e">
        <f t="shared" si="70"/>
        <v>#N/A</v>
      </c>
      <c r="H607">
        <f t="shared" si="71"/>
        <v>0.98171723213909401</v>
      </c>
      <c r="I607" t="e">
        <f t="shared" si="72"/>
        <v>#N/A</v>
      </c>
      <c r="K607" s="44">
        <f ca="1">Exponential!D120</f>
        <v>3.6462923293152896</v>
      </c>
    </row>
    <row r="608" spans="4:11" x14ac:dyDescent="0.25">
      <c r="D608">
        <v>88</v>
      </c>
      <c r="E608" s="25">
        <f t="shared" si="73"/>
        <v>157.51796349141432</v>
      </c>
      <c r="F608">
        <f t="shared" si="69"/>
        <v>4.4855648210957315E-4</v>
      </c>
      <c r="G608" t="e">
        <f t="shared" si="70"/>
        <v>#N/A</v>
      </c>
      <c r="H608">
        <f t="shared" si="71"/>
        <v>0.98254644038484151</v>
      </c>
      <c r="I608" t="e">
        <f t="shared" si="72"/>
        <v>#N/A</v>
      </c>
      <c r="K608" s="44">
        <f ca="1">Exponential!D121</f>
        <v>2.8387885747715913</v>
      </c>
    </row>
    <row r="609" spans="1:15" x14ac:dyDescent="0.25">
      <c r="D609">
        <v>89</v>
      </c>
      <c r="E609" s="25">
        <f t="shared" si="73"/>
        <v>159.324008317156</v>
      </c>
      <c r="F609">
        <f t="shared" si="69"/>
        <v>4.2821236701285872E-4</v>
      </c>
      <c r="G609" t="e">
        <f t="shared" si="70"/>
        <v>#N/A</v>
      </c>
      <c r="H609">
        <f t="shared" si="71"/>
        <v>0.98333804019405224</v>
      </c>
      <c r="I609" t="e">
        <f t="shared" si="72"/>
        <v>#N/A</v>
      </c>
      <c r="K609" s="44">
        <f ca="1">Exponential!D122</f>
        <v>25.78827668841031</v>
      </c>
    </row>
    <row r="610" spans="1:15" x14ac:dyDescent="0.25">
      <c r="D610">
        <v>90</v>
      </c>
      <c r="E610" s="25">
        <f t="shared" si="73"/>
        <v>161.13005314289768</v>
      </c>
      <c r="F610">
        <f t="shared" si="69"/>
        <v>4.0879095181142191E-4</v>
      </c>
      <c r="G610" t="e">
        <f t="shared" si="70"/>
        <v>#N/A</v>
      </c>
      <c r="H610">
        <f t="shared" si="71"/>
        <v>0.98409373728360228</v>
      </c>
      <c r="I610" t="e">
        <f t="shared" si="72"/>
        <v>#N/A</v>
      </c>
      <c r="K610" s="44">
        <f ca="1">Exponential!D123</f>
        <v>39.681807201798122</v>
      </c>
    </row>
    <row r="611" spans="1:15" x14ac:dyDescent="0.25">
      <c r="D611">
        <v>91</v>
      </c>
      <c r="E611" s="25">
        <f t="shared" si="73"/>
        <v>162.93609796863936</v>
      </c>
      <c r="F611">
        <f t="shared" si="69"/>
        <v>3.9025038778917401E-4</v>
      </c>
      <c r="G611" t="e">
        <f t="shared" si="70"/>
        <v>#N/A</v>
      </c>
      <c r="H611">
        <f t="shared" si="71"/>
        <v>0.98481516000820335</v>
      </c>
      <c r="I611" t="e">
        <f t="shared" si="72"/>
        <v>#N/A</v>
      </c>
      <c r="K611" s="44">
        <f ca="1">Exponential!D124</f>
        <v>43.560068446401054</v>
      </c>
    </row>
    <row r="612" spans="1:15" x14ac:dyDescent="0.25">
      <c r="D612">
        <v>92</v>
      </c>
      <c r="E612" s="25">
        <f t="shared" si="73"/>
        <v>164.74214279438104</v>
      </c>
      <c r="F612">
        <f t="shared" si="69"/>
        <v>3.7255072426323053E-4</v>
      </c>
      <c r="G612" t="e">
        <f t="shared" si="70"/>
        <v>#N/A</v>
      </c>
      <c r="H612">
        <f t="shared" si="71"/>
        <v>0.98550386286913505</v>
      </c>
      <c r="I612" t="e">
        <f t="shared" si="72"/>
        <v>#N/A</v>
      </c>
      <c r="K612" s="44">
        <f ca="1">Exponential!D125</f>
        <v>18.687123717383258</v>
      </c>
    </row>
    <row r="613" spans="1:15" x14ac:dyDescent="0.25">
      <c r="D613">
        <v>93</v>
      </c>
      <c r="E613" s="25">
        <f t="shared" si="73"/>
        <v>166.54818762012272</v>
      </c>
      <c r="F613">
        <f t="shared" si="69"/>
        <v>3.5565382249930981E-4</v>
      </c>
      <c r="G613" t="e">
        <f t="shared" si="70"/>
        <v>#N/A</v>
      </c>
      <c r="H613">
        <f t="shared" si="71"/>
        <v>0.98616132986384009</v>
      </c>
      <c r="I613" t="e">
        <f t="shared" si="72"/>
        <v>#N/A</v>
      </c>
      <c r="K613" s="44">
        <f ca="1">Exponential!D126</f>
        <v>66.916982038240363</v>
      </c>
    </row>
    <row r="614" spans="1:15" x14ac:dyDescent="0.25">
      <c r="D614">
        <v>94</v>
      </c>
      <c r="E614" s="25">
        <f t="shared" si="73"/>
        <v>168.3542324458644</v>
      </c>
      <c r="F614">
        <f t="shared" si="69"/>
        <v>3.3952327353146592E-4</v>
      </c>
      <c r="G614" t="e">
        <f t="shared" si="70"/>
        <v>#N/A</v>
      </c>
      <c r="H614">
        <f t="shared" si="71"/>
        <v>0.98678897768360052</v>
      </c>
      <c r="I614" t="e">
        <f t="shared" si="72"/>
        <v>#N/A</v>
      </c>
      <c r="K614" s="44">
        <f ca="1">Exponential!D127</f>
        <v>47.719654747212189</v>
      </c>
    </row>
    <row r="615" spans="1:15" x14ac:dyDescent="0.25">
      <c r="D615">
        <v>95</v>
      </c>
      <c r="E615" s="25">
        <f t="shared" si="73"/>
        <v>170.16027727160608</v>
      </c>
      <c r="F615">
        <f t="shared" si="69"/>
        <v>3.2412431970907965E-4</v>
      </c>
      <c r="G615" t="e">
        <f t="shared" si="70"/>
        <v>#N/A</v>
      </c>
      <c r="H615">
        <f t="shared" si="71"/>
        <v>0.98738815876618369</v>
      </c>
      <c r="I615" t="e">
        <f t="shared" si="72"/>
        <v>#N/A</v>
      </c>
      <c r="K615" s="44">
        <f ca="1">Exponential!D128</f>
        <v>0.62485721301639285</v>
      </c>
    </row>
    <row r="616" spans="1:15" x14ac:dyDescent="0.25">
      <c r="D616">
        <v>96</v>
      </c>
      <c r="E616" s="25">
        <f t="shared" si="73"/>
        <v>171.96632209734776</v>
      </c>
      <c r="F616">
        <f t="shared" si="69"/>
        <v>3.0942377980205666E-4</v>
      </c>
      <c r="G616" t="e">
        <f t="shared" si="70"/>
        <v>#N/A</v>
      </c>
      <c r="H616">
        <f t="shared" si="71"/>
        <v>0.98796016421003674</v>
      </c>
      <c r="I616" t="e">
        <f t="shared" si="72"/>
        <v>#N/A</v>
      </c>
      <c r="K616" s="44">
        <f ca="1">Exponential!D129</f>
        <v>0.7384811541661902</v>
      </c>
    </row>
    <row r="617" spans="1:15" x14ac:dyDescent="0.25">
      <c r="D617">
        <v>97</v>
      </c>
      <c r="E617" s="25">
        <f t="shared" si="73"/>
        <v>173.77236692308944</v>
      </c>
      <c r="F617">
        <f t="shared" si="69"/>
        <v>2.9538997750285022E-4</v>
      </c>
      <c r="G617" t="e">
        <f t="shared" si="70"/>
        <v>#N/A</v>
      </c>
      <c r="H617">
        <f t="shared" si="71"/>
        <v>0.98850622655630938</v>
      </c>
      <c r="I617" t="e">
        <f t="shared" si="72"/>
        <v>#N/A</v>
      </c>
      <c r="K617" s="44">
        <f ca="1">Exponential!D130</f>
        <v>138.65853077117305</v>
      </c>
    </row>
    <row r="618" spans="1:15" x14ac:dyDescent="0.25">
      <c r="D618">
        <v>98</v>
      </c>
      <c r="E618" s="25">
        <f t="shared" si="73"/>
        <v>175.57841174883112</v>
      </c>
      <c r="F618">
        <f t="shared" si="69"/>
        <v>2.8199267317125014E-4</v>
      </c>
      <c r="G618" t="e">
        <f t="shared" si="70"/>
        <v>#N/A</v>
      </c>
      <c r="H618">
        <f t="shared" si="71"/>
        <v>0.98902752244469849</v>
      </c>
      <c r="I618" t="e">
        <f t="shared" si="72"/>
        <v>#N/A</v>
      </c>
      <c r="K618" s="44">
        <f ca="1">Exponential!D131</f>
        <v>60.001127537032161</v>
      </c>
    </row>
    <row r="619" spans="1:15" x14ac:dyDescent="0.25">
      <c r="D619">
        <v>99</v>
      </c>
      <c r="E619" s="25">
        <f t="shared" si="73"/>
        <v>177.38445657457279</v>
      </c>
      <c r="F619">
        <f t="shared" si="69"/>
        <v>2.6920299867486304E-4</v>
      </c>
      <c r="G619" t="e">
        <f t="shared" si="70"/>
        <v>#N/A</v>
      </c>
      <c r="H619">
        <f t="shared" si="71"/>
        <v>0.98952517514883798</v>
      </c>
      <c r="I619" t="e">
        <f t="shared" si="72"/>
        <v>#N/A</v>
      </c>
      <c r="K619" s="44">
        <f ca="1">Exponential!D132</f>
        <v>1.6348568847866241</v>
      </c>
    </row>
    <row r="620" spans="1:15" x14ac:dyDescent="0.25">
      <c r="D620">
        <v>100</v>
      </c>
      <c r="E620" s="25">
        <f t="shared" si="73"/>
        <v>179.19050140031447</v>
      </c>
      <c r="F620">
        <f t="shared" si="69"/>
        <v>2.5699339518487458E-4</v>
      </c>
      <c r="G620" t="e">
        <f t="shared" si="70"/>
        <v>#N/A</v>
      </c>
      <c r="H620">
        <f t="shared" si="71"/>
        <v>0.99000025699669747</v>
      </c>
      <c r="I620" t="e">
        <f t="shared" si="72"/>
        <v>#N/A</v>
      </c>
      <c r="K620" s="44">
        <f ca="1">Exponential!D133</f>
        <v>38.226751572746686</v>
      </c>
    </row>
    <row r="622" spans="1:15" x14ac:dyDescent="0.25">
      <c r="A622" s="6" t="s">
        <v>217</v>
      </c>
      <c r="B622" s="6"/>
      <c r="C622" s="6"/>
      <c r="D622" s="6" t="s">
        <v>149</v>
      </c>
      <c r="E622" s="6" t="s">
        <v>150</v>
      </c>
      <c r="F622" s="6" t="s">
        <v>151</v>
      </c>
      <c r="G622" s="6" t="s">
        <v>152</v>
      </c>
      <c r="H622" s="6" t="s">
        <v>39</v>
      </c>
      <c r="I622" s="6" t="s">
        <v>259</v>
      </c>
      <c r="J622" s="6"/>
      <c r="K622" s="6">
        <f>Normal!D644</f>
        <v>0</v>
      </c>
      <c r="L622" s="6"/>
      <c r="M622" s="6"/>
      <c r="N622" s="6"/>
      <c r="O622" s="6"/>
    </row>
    <row r="623" spans="1:15" x14ac:dyDescent="0.25">
      <c r="A623" t="s">
        <v>24</v>
      </c>
      <c r="B623" s="42">
        <f>Weibull!D20</f>
        <v>20</v>
      </c>
      <c r="D623">
        <v>1</v>
      </c>
      <c r="E623" s="25">
        <f>B627+0.001</f>
        <v>0.20200671707002901</v>
      </c>
      <c r="F623">
        <f>WEIBULL(E623,$B$629,$B$630,0)</f>
        <v>4.9497525061873979E-2</v>
      </c>
      <c r="G623">
        <f>IF(OR($E623&gt;$B$626,$E623&lt;$B$625),NA(),$F623)</f>
        <v>4.9497525061873979E-2</v>
      </c>
      <c r="H623">
        <f>WEIBULL(E623,$B$629,$B$630,1)</f>
        <v>1.0049498762520634E-2</v>
      </c>
      <c r="I623">
        <f>IF(OR($E623&gt;$B$626,$E623&lt;$B$625),NA(),$H623)</f>
        <v>1.0049498762520634E-2</v>
      </c>
      <c r="K623" s="44">
        <f ca="1">Weibull!D33</f>
        <v>30.968156912923121</v>
      </c>
      <c r="L623" t="s">
        <v>28</v>
      </c>
      <c r="M623" s="42">
        <f ca="1">MIN(K623:K722)</f>
        <v>0.14217674541434719</v>
      </c>
    </row>
    <row r="624" spans="1:15" x14ac:dyDescent="0.25">
      <c r="A624" t="s">
        <v>25</v>
      </c>
      <c r="B624" s="42">
        <f>Weibull!D21</f>
        <v>20</v>
      </c>
      <c r="D624">
        <v>2</v>
      </c>
      <c r="E624" s="25">
        <f>($B$628-$B$627)/99+E623</f>
        <v>1.1303137575012592</v>
      </c>
      <c r="F624">
        <f t="shared" ref="F624:F687" si="74">WEIBULL(E624,$B$629,$B$630,0)</f>
        <v>4.7252582926325316E-2</v>
      </c>
      <c r="G624">
        <f t="shared" ref="G624:G687" si="75">IF(OR($E624&gt;$B$626,$E624&lt;$B$625),NA(),$F624)</f>
        <v>4.7252582926325316E-2</v>
      </c>
      <c r="H624">
        <f t="shared" ref="H624:H687" si="76">WEIBULL(E624,$B$629,$B$630,1)</f>
        <v>5.4948341473493881E-2</v>
      </c>
      <c r="I624">
        <f t="shared" ref="I624:I687" si="77">IF(OR($E624&gt;$B$626,$E624&lt;$B$625),NA(),$H624)</f>
        <v>5.4948341473493881E-2</v>
      </c>
      <c r="K624" s="44">
        <f ca="1">Weibull!D34</f>
        <v>43.736572694451404</v>
      </c>
      <c r="L624" t="s">
        <v>29</v>
      </c>
      <c r="M624" s="42">
        <f ca="1">MAX(K623:K722)</f>
        <v>117.94073301280318</v>
      </c>
    </row>
    <row r="625" spans="1:16" x14ac:dyDescent="0.25">
      <c r="A625" t="s">
        <v>26</v>
      </c>
      <c r="B625">
        <f>Weibull!D12</f>
        <v>0</v>
      </c>
      <c r="D625">
        <v>3</v>
      </c>
      <c r="E625" s="25">
        <f t="shared" ref="E625:E688" si="78">($B$628-$B$627)/99+E624</f>
        <v>2.0586207979324893</v>
      </c>
      <c r="F625">
        <f t="shared" si="74"/>
        <v>4.5109459319797283E-2</v>
      </c>
      <c r="G625">
        <f t="shared" si="75"/>
        <v>4.5109459319797283E-2</v>
      </c>
      <c r="H625">
        <f t="shared" si="76"/>
        <v>9.7810813604054497E-2</v>
      </c>
      <c r="I625">
        <f t="shared" si="77"/>
        <v>9.7810813604054497E-2</v>
      </c>
      <c r="K625" s="44">
        <f ca="1">Weibull!D35</f>
        <v>0.99589966810739117</v>
      </c>
    </row>
    <row r="626" spans="1:16" x14ac:dyDescent="0.25">
      <c r="A626" t="s">
        <v>27</v>
      </c>
      <c r="B626">
        <f>Weibull!D13</f>
        <v>20</v>
      </c>
      <c r="D626">
        <v>4</v>
      </c>
      <c r="E626" s="25">
        <f t="shared" si="78"/>
        <v>2.9869278383637194</v>
      </c>
      <c r="F626">
        <f t="shared" si="74"/>
        <v>4.3063536300166669E-2</v>
      </c>
      <c r="G626">
        <f t="shared" si="75"/>
        <v>4.3063536300166669E-2</v>
      </c>
      <c r="H626">
        <f t="shared" si="76"/>
        <v>0.13872927399666679</v>
      </c>
      <c r="I626">
        <f t="shared" si="77"/>
        <v>0.13872927399666679</v>
      </c>
      <c r="K626" s="44">
        <f ca="1">Weibull!D36</f>
        <v>10.28140020055009</v>
      </c>
      <c r="M626" t="s">
        <v>53</v>
      </c>
      <c r="N626" t="s">
        <v>54</v>
      </c>
    </row>
    <row r="627" spans="1:16" x14ac:dyDescent="0.25">
      <c r="A627" t="s">
        <v>28</v>
      </c>
      <c r="B627">
        <f>$B$630*(-LN(1-0.01))^(1/$B$629)</f>
        <v>0.20100671707002901</v>
      </c>
      <c r="D627">
        <v>5</v>
      </c>
      <c r="E627" s="25">
        <f t="shared" si="78"/>
        <v>3.9152348787949496</v>
      </c>
      <c r="F627">
        <f t="shared" si="74"/>
        <v>4.1110405370385322E-2</v>
      </c>
      <c r="G627">
        <f t="shared" si="75"/>
        <v>4.1110405370385322E-2</v>
      </c>
      <c r="H627">
        <f t="shared" si="76"/>
        <v>0.17779189259229378</v>
      </c>
      <c r="I627">
        <f t="shared" si="77"/>
        <v>0.17779189259229378</v>
      </c>
      <c r="K627" s="44">
        <f ca="1">Weibull!D37</f>
        <v>36.162696817703882</v>
      </c>
      <c r="L627">
        <v>1</v>
      </c>
      <c r="M627">
        <f ca="1">M623</f>
        <v>0.14217674541434719</v>
      </c>
      <c r="N627">
        <f ca="1">O627</f>
        <v>55</v>
      </c>
      <c r="O627">
        <f ca="1">COUNTIF($K$623:$K$722,"&lt;"&amp;M628)</f>
        <v>55</v>
      </c>
      <c r="P627">
        <f ca="1">M627</f>
        <v>0.14217674541434719</v>
      </c>
    </row>
    <row r="628" spans="1:16" x14ac:dyDescent="0.25">
      <c r="A628" t="s">
        <v>29</v>
      </c>
      <c r="B628">
        <f>$B$630*(-LN(1-0.99))^(1/$B$629)</f>
        <v>92.103403719761815</v>
      </c>
      <c r="D628">
        <v>6</v>
      </c>
      <c r="E628" s="25">
        <f t="shared" si="78"/>
        <v>4.8435419192261797</v>
      </c>
      <c r="F628">
        <f t="shared" si="74"/>
        <v>3.9245857979175409E-2</v>
      </c>
      <c r="G628">
        <f t="shared" si="75"/>
        <v>3.9245857979175409E-2</v>
      </c>
      <c r="H628">
        <f t="shared" si="76"/>
        <v>0.21508284041649192</v>
      </c>
      <c r="I628">
        <f t="shared" si="77"/>
        <v>0.21508284041649192</v>
      </c>
      <c r="K628" s="44">
        <f ca="1">Weibull!D38</f>
        <v>7.8764851572354155</v>
      </c>
      <c r="L628">
        <v>2</v>
      </c>
      <c r="M628">
        <f ca="1">M627+($M$624-$M$623)/7</f>
        <v>16.970541926469895</v>
      </c>
      <c r="N628">
        <f t="shared" ref="N628:N633" ca="1" si="79">O628-O627</f>
        <v>19</v>
      </c>
      <c r="O628">
        <f t="shared" ref="O628:O633" ca="1" si="80">COUNTIF($K$623:$K$722,"&lt;"&amp;M629)</f>
        <v>74</v>
      </c>
    </row>
    <row r="629" spans="1:16" x14ac:dyDescent="0.25">
      <c r="A629" t="s">
        <v>75</v>
      </c>
      <c r="B629">
        <f>Weibull!C5</f>
        <v>1</v>
      </c>
      <c r="D629">
        <v>7</v>
      </c>
      <c r="E629" s="25">
        <f t="shared" si="78"/>
        <v>5.7718489596574098</v>
      </c>
      <c r="F629">
        <f t="shared" si="74"/>
        <v>3.7465876452562212E-2</v>
      </c>
      <c r="G629">
        <f t="shared" si="75"/>
        <v>3.7465876452562212E-2</v>
      </c>
      <c r="H629">
        <f t="shared" si="76"/>
        <v>0.2506824709487559</v>
      </c>
      <c r="I629">
        <f t="shared" si="77"/>
        <v>0.2506824709487559</v>
      </c>
      <c r="K629" s="44">
        <f ca="1">Weibull!D39</f>
        <v>4.2535560763951752</v>
      </c>
      <c r="L629">
        <v>3</v>
      </c>
      <c r="M629">
        <f t="shared" ref="M629:M634" ca="1" si="81">M628+($M$624-$M$623)/7</f>
        <v>33.798907107525444</v>
      </c>
      <c r="N629">
        <f t="shared" ca="1" si="79"/>
        <v>15</v>
      </c>
      <c r="O629">
        <f t="shared" ca="1" si="80"/>
        <v>89</v>
      </c>
    </row>
    <row r="630" spans="1:16" x14ac:dyDescent="0.25">
      <c r="A630" t="s">
        <v>76</v>
      </c>
      <c r="B630">
        <f>Weibull!C6</f>
        <v>20</v>
      </c>
      <c r="D630">
        <v>8</v>
      </c>
      <c r="E630" s="25">
        <f t="shared" si="78"/>
        <v>6.70015600008864</v>
      </c>
      <c r="F630">
        <f t="shared" si="74"/>
        <v>3.5766625336703835E-2</v>
      </c>
      <c r="G630">
        <f t="shared" si="75"/>
        <v>3.5766625336703835E-2</v>
      </c>
      <c r="H630">
        <f t="shared" si="76"/>
        <v>0.28466749326592344</v>
      </c>
      <c r="I630">
        <f t="shared" si="77"/>
        <v>0.28466749326592344</v>
      </c>
      <c r="K630" s="44">
        <f ca="1">Weibull!D40</f>
        <v>15.757260986207665</v>
      </c>
      <c r="L630">
        <v>4</v>
      </c>
      <c r="M630">
        <f t="shared" ca="1" si="81"/>
        <v>50.627272288580997</v>
      </c>
      <c r="N630">
        <f t="shared" ca="1" si="79"/>
        <v>7</v>
      </c>
      <c r="O630">
        <f t="shared" ca="1" si="80"/>
        <v>96</v>
      </c>
      <c r="P630">
        <f ca="1">M630</f>
        <v>50.627272288580997</v>
      </c>
    </row>
    <row r="631" spans="1:16" x14ac:dyDescent="0.25">
      <c r="D631">
        <v>9</v>
      </c>
      <c r="E631" s="25">
        <f t="shared" si="78"/>
        <v>7.6284630405198701</v>
      </c>
      <c r="F631">
        <f t="shared" si="74"/>
        <v>3.414444313336381E-2</v>
      </c>
      <c r="G631">
        <f t="shared" si="75"/>
        <v>3.414444313336381E-2</v>
      </c>
      <c r="H631">
        <f t="shared" si="76"/>
        <v>0.31711113733272395</v>
      </c>
      <c r="I631">
        <f t="shared" si="77"/>
        <v>0.31711113733272395</v>
      </c>
      <c r="K631" s="44">
        <f ca="1">Weibull!D41</f>
        <v>7.5550999694035861</v>
      </c>
      <c r="L631">
        <v>5</v>
      </c>
      <c r="M631">
        <f t="shared" ca="1" si="81"/>
        <v>67.455637469636542</v>
      </c>
      <c r="N631">
        <f t="shared" ca="1" si="79"/>
        <v>2</v>
      </c>
      <c r="O631">
        <f t="shared" ca="1" si="80"/>
        <v>98</v>
      </c>
    </row>
    <row r="632" spans="1:16" x14ac:dyDescent="0.25">
      <c r="D632">
        <v>10</v>
      </c>
      <c r="E632" s="25">
        <f t="shared" si="78"/>
        <v>8.5567700809511003</v>
      </c>
      <c r="F632">
        <f t="shared" si="74"/>
        <v>3.2595834410218259E-2</v>
      </c>
      <c r="G632">
        <f t="shared" si="75"/>
        <v>3.2595834410218259E-2</v>
      </c>
      <c r="H632">
        <f t="shared" si="76"/>
        <v>0.34808331179563495</v>
      </c>
      <c r="I632">
        <f t="shared" si="77"/>
        <v>0.34808331179563495</v>
      </c>
      <c r="K632" s="44">
        <f ca="1">Weibull!D42</f>
        <v>37.316114324746707</v>
      </c>
      <c r="L632">
        <v>6</v>
      </c>
      <c r="M632">
        <f t="shared" ca="1" si="81"/>
        <v>84.284002650692088</v>
      </c>
      <c r="N632">
        <f t="shared" ca="1" si="79"/>
        <v>1</v>
      </c>
      <c r="O632">
        <f t="shared" ca="1" si="80"/>
        <v>99</v>
      </c>
    </row>
    <row r="633" spans="1:16" x14ac:dyDescent="0.25">
      <c r="D633">
        <v>11</v>
      </c>
      <c r="E633" s="25">
        <f t="shared" si="78"/>
        <v>9.4850771213823304</v>
      </c>
      <c r="F633">
        <f t="shared" si="74"/>
        <v>3.1117462268997195E-2</v>
      </c>
      <c r="G633">
        <f t="shared" si="75"/>
        <v>3.1117462268997195E-2</v>
      </c>
      <c r="H633">
        <f t="shared" si="76"/>
        <v>0.37765075462005626</v>
      </c>
      <c r="I633">
        <f t="shared" si="77"/>
        <v>0.37765075462005626</v>
      </c>
      <c r="K633" s="44">
        <f ca="1">Weibull!D43</f>
        <v>67.359420822060599</v>
      </c>
      <c r="L633">
        <v>7</v>
      </c>
      <c r="M633">
        <f t="shared" ca="1" si="81"/>
        <v>101.11236783174763</v>
      </c>
      <c r="N633">
        <f t="shared" ca="1" si="79"/>
        <v>0</v>
      </c>
      <c r="O633">
        <f t="shared" ca="1" si="80"/>
        <v>99</v>
      </c>
      <c r="P633">
        <f ca="1">M634</f>
        <v>117.94073301280318</v>
      </c>
    </row>
    <row r="634" spans="1:16" x14ac:dyDescent="0.25">
      <c r="D634">
        <v>12</v>
      </c>
      <c r="E634" s="25">
        <f t="shared" si="78"/>
        <v>10.413384161813561</v>
      </c>
      <c r="F634">
        <f t="shared" si="74"/>
        <v>2.9706141155230525E-2</v>
      </c>
      <c r="G634">
        <f t="shared" si="75"/>
        <v>2.9706141155230525E-2</v>
      </c>
      <c r="H634">
        <f t="shared" si="76"/>
        <v>0.40587717689538971</v>
      </c>
      <c r="I634">
        <f t="shared" si="77"/>
        <v>0.40587717689538971</v>
      </c>
      <c r="K634" s="44">
        <f ca="1">Weibull!D44</f>
        <v>3.6935468433659842</v>
      </c>
      <c r="L634">
        <v>8</v>
      </c>
      <c r="M634">
        <f t="shared" ca="1" si="81"/>
        <v>117.94073301280318</v>
      </c>
    </row>
    <row r="635" spans="1:16" x14ac:dyDescent="0.25">
      <c r="D635">
        <v>13</v>
      </c>
      <c r="E635" s="25">
        <f t="shared" si="78"/>
        <v>11.341691202244791</v>
      </c>
      <c r="F635">
        <f t="shared" si="74"/>
        <v>2.8358829994105404E-2</v>
      </c>
      <c r="G635">
        <f t="shared" si="75"/>
        <v>2.8358829994105404E-2</v>
      </c>
      <c r="H635">
        <f t="shared" si="76"/>
        <v>0.43282340011789205</v>
      </c>
      <c r="I635">
        <f t="shared" si="77"/>
        <v>0.43282340011789205</v>
      </c>
      <c r="K635" s="44">
        <f ca="1">Weibull!D45</f>
        <v>10.314887191628099</v>
      </c>
    </row>
    <row r="636" spans="1:16" x14ac:dyDescent="0.25">
      <c r="D636">
        <v>14</v>
      </c>
      <c r="E636" s="25">
        <f t="shared" si="78"/>
        <v>12.269998242676021</v>
      </c>
      <c r="F636">
        <f t="shared" si="74"/>
        <v>2.7072625637644225E-2</v>
      </c>
      <c r="G636">
        <f t="shared" si="75"/>
        <v>2.7072625637644225E-2</v>
      </c>
      <c r="H636">
        <f t="shared" si="76"/>
        <v>0.45854748724711547</v>
      </c>
      <c r="I636">
        <f t="shared" si="77"/>
        <v>0.45854748724711547</v>
      </c>
      <c r="K636" s="44">
        <f ca="1">Weibull!D46</f>
        <v>14.693440557305017</v>
      </c>
    </row>
    <row r="637" spans="1:16" x14ac:dyDescent="0.25">
      <c r="D637">
        <v>15</v>
      </c>
      <c r="E637" s="25">
        <f t="shared" si="78"/>
        <v>13.198305283107251</v>
      </c>
      <c r="F637">
        <f t="shared" si="74"/>
        <v>2.5844756609083523E-2</v>
      </c>
      <c r="G637">
        <f t="shared" si="75"/>
        <v>2.5844756609083523E-2</v>
      </c>
      <c r="H637">
        <f t="shared" si="76"/>
        <v>0.48310486781832968</v>
      </c>
      <c r="I637">
        <f t="shared" si="77"/>
        <v>0.48310486781832968</v>
      </c>
      <c r="K637" s="44">
        <f ca="1">Weibull!D47</f>
        <v>5.1454892339680489</v>
      </c>
    </row>
    <row r="638" spans="1:16" x14ac:dyDescent="0.25">
      <c r="D638">
        <v>16</v>
      </c>
      <c r="E638" s="25">
        <f t="shared" si="78"/>
        <v>14.126612323538481</v>
      </c>
      <c r="F638">
        <f t="shared" si="74"/>
        <v>2.4672577130974181E-2</v>
      </c>
      <c r="G638">
        <f t="shared" si="75"/>
        <v>2.4672577130974181E-2</v>
      </c>
      <c r="H638">
        <f t="shared" si="76"/>
        <v>0.50654845738051646</v>
      </c>
      <c r="I638">
        <f t="shared" si="77"/>
        <v>0.50654845738051646</v>
      </c>
      <c r="K638" s="44">
        <f ca="1">Weibull!D48</f>
        <v>3.2902578081801561</v>
      </c>
      <c r="N638">
        <f ca="1">SUM(N627:N636)</f>
        <v>99</v>
      </c>
      <c r="O638">
        <f ca="1">SUM(O627:O636)</f>
        <v>610</v>
      </c>
    </row>
    <row r="639" spans="1:16" x14ac:dyDescent="0.25">
      <c r="D639">
        <v>17</v>
      </c>
      <c r="E639" s="25">
        <f t="shared" si="78"/>
        <v>15.054919363969711</v>
      </c>
      <c r="F639">
        <f t="shared" si="74"/>
        <v>2.3553561424135092E-2</v>
      </c>
      <c r="G639">
        <f t="shared" si="75"/>
        <v>2.3553561424135092E-2</v>
      </c>
      <c r="H639">
        <f t="shared" si="76"/>
        <v>0.52892877151729822</v>
      </c>
      <c r="I639">
        <f t="shared" si="77"/>
        <v>0.52892877151729822</v>
      </c>
      <c r="K639" s="44">
        <f ca="1">Weibull!D49</f>
        <v>33.388462605864333</v>
      </c>
    </row>
    <row r="640" spans="1:16" x14ac:dyDescent="0.25">
      <c r="D640">
        <v>18</v>
      </c>
      <c r="E640" s="25">
        <f t="shared" si="78"/>
        <v>15.983226404400941</v>
      </c>
      <c r="F640">
        <f t="shared" si="74"/>
        <v>2.2485298265175598E-2</v>
      </c>
      <c r="G640">
        <f t="shared" si="75"/>
        <v>2.2485298265175598E-2</v>
      </c>
      <c r="H640">
        <f t="shared" si="76"/>
        <v>0.55029403469648819</v>
      </c>
      <c r="I640">
        <f t="shared" si="77"/>
        <v>0.55029403469648819</v>
      </c>
      <c r="K640" s="44">
        <f ca="1">Weibull!D50</f>
        <v>13.704104381106244</v>
      </c>
    </row>
    <row r="641" spans="4:11" x14ac:dyDescent="0.25">
      <c r="D641">
        <v>19</v>
      </c>
      <c r="E641" s="25">
        <f t="shared" si="78"/>
        <v>16.911533444832173</v>
      </c>
      <c r="F641">
        <f t="shared" si="74"/>
        <v>2.1465485790859513E-2</v>
      </c>
      <c r="G641">
        <f t="shared" si="75"/>
        <v>2.1465485790859513E-2</v>
      </c>
      <c r="H641">
        <f t="shared" si="76"/>
        <v>0.57069028418280998</v>
      </c>
      <c r="I641">
        <f t="shared" si="77"/>
        <v>0.57069028418280998</v>
      </c>
      <c r="K641" s="44">
        <f ca="1">Weibull!D51</f>
        <v>42.103743957625923</v>
      </c>
    </row>
    <row r="642" spans="4:11" x14ac:dyDescent="0.25">
      <c r="D642">
        <v>20</v>
      </c>
      <c r="E642" s="25">
        <f t="shared" si="78"/>
        <v>17.839840485263402</v>
      </c>
      <c r="F642">
        <f t="shared" si="74"/>
        <v>2.0491926538115393E-2</v>
      </c>
      <c r="G642">
        <f t="shared" si="75"/>
        <v>2.0491926538115393E-2</v>
      </c>
      <c r="H642">
        <f t="shared" si="76"/>
        <v>0.59016146923769219</v>
      </c>
      <c r="I642">
        <f t="shared" si="77"/>
        <v>0.59016146923769219</v>
      </c>
      <c r="K642" s="44">
        <f ca="1">Weibull!D52</f>
        <v>4.9285692655329436</v>
      </c>
    </row>
    <row r="643" spans="4:11" x14ac:dyDescent="0.25">
      <c r="D643">
        <v>21</v>
      </c>
      <c r="E643" s="25">
        <f t="shared" si="78"/>
        <v>18.76814752569463</v>
      </c>
      <c r="F643">
        <f t="shared" si="74"/>
        <v>1.9562522709005204E-2</v>
      </c>
      <c r="G643">
        <f t="shared" si="75"/>
        <v>1.9562522709005204E-2</v>
      </c>
      <c r="H643">
        <f t="shared" si="76"/>
        <v>0.60874954581989582</v>
      </c>
      <c r="I643">
        <f t="shared" si="77"/>
        <v>0.60874954581989582</v>
      </c>
      <c r="K643" s="44">
        <f ca="1">Weibull!D53</f>
        <v>117.94073301280318</v>
      </c>
    </row>
    <row r="644" spans="4:11" x14ac:dyDescent="0.25">
      <c r="D644">
        <v>22</v>
      </c>
      <c r="E644" s="25">
        <f t="shared" si="78"/>
        <v>19.696454566125858</v>
      </c>
      <c r="F644">
        <f t="shared" si="74"/>
        <v>1.867527165044873E-2</v>
      </c>
      <c r="G644">
        <f t="shared" si="75"/>
        <v>1.867527165044873E-2</v>
      </c>
      <c r="H644">
        <f t="shared" si="76"/>
        <v>0.62649456699102546</v>
      </c>
      <c r="I644">
        <f t="shared" si="77"/>
        <v>0.62649456699102546</v>
      </c>
      <c r="K644" s="44">
        <f ca="1">Weibull!D54</f>
        <v>0.46075311941698627</v>
      </c>
    </row>
    <row r="645" spans="4:11" x14ac:dyDescent="0.25">
      <c r="D645">
        <v>23</v>
      </c>
      <c r="E645" s="25">
        <f t="shared" si="78"/>
        <v>20.624761606557087</v>
      </c>
      <c r="F645">
        <f t="shared" si="74"/>
        <v>1.7828261538963323E-2</v>
      </c>
      <c r="G645" t="e">
        <f t="shared" si="75"/>
        <v>#N/A</v>
      </c>
      <c r="H645">
        <f t="shared" si="76"/>
        <v>0.64343476922073362</v>
      </c>
      <c r="I645" t="e">
        <f t="shared" si="77"/>
        <v>#N/A</v>
      </c>
      <c r="K645" s="44">
        <f ca="1">Weibull!D55</f>
        <v>0.59299239613232457</v>
      </c>
    </row>
    <row r="646" spans="4:11" x14ac:dyDescent="0.25">
      <c r="D646">
        <v>24</v>
      </c>
      <c r="E646" s="25">
        <f t="shared" si="78"/>
        <v>21.553068646988315</v>
      </c>
      <c r="F646">
        <f t="shared" si="74"/>
        <v>1.7019667261120756E-2</v>
      </c>
      <c r="G646" t="e">
        <f t="shared" si="75"/>
        <v>#N/A</v>
      </c>
      <c r="H646">
        <f t="shared" si="76"/>
        <v>0.65960665477758496</v>
      </c>
      <c r="I646" t="e">
        <f t="shared" si="77"/>
        <v>#N/A</v>
      </c>
      <c r="K646" s="44">
        <f ca="1">Weibull!D56</f>
        <v>26.365483594346074</v>
      </c>
    </row>
    <row r="647" spans="4:11" x14ac:dyDescent="0.25">
      <c r="D647">
        <v>25</v>
      </c>
      <c r="E647" s="25">
        <f t="shared" si="78"/>
        <v>22.481375687419543</v>
      </c>
      <c r="F647">
        <f t="shared" si="74"/>
        <v>1.6247746480844445E-2</v>
      </c>
      <c r="G647" t="e">
        <f t="shared" si="75"/>
        <v>#N/A</v>
      </c>
      <c r="H647">
        <f t="shared" si="76"/>
        <v>0.67504507038311123</v>
      </c>
      <c r="I647" t="e">
        <f t="shared" si="77"/>
        <v>#N/A</v>
      </c>
      <c r="K647" s="44">
        <f ca="1">Weibull!D57</f>
        <v>25.991932344135865</v>
      </c>
    </row>
    <row r="648" spans="4:11" x14ac:dyDescent="0.25">
      <c r="D648">
        <v>26</v>
      </c>
      <c r="E648" s="25">
        <f t="shared" si="78"/>
        <v>23.409682727850772</v>
      </c>
      <c r="F648">
        <f t="shared" si="74"/>
        <v>1.5510835885072946E-2</v>
      </c>
      <c r="G648" t="e">
        <f t="shared" si="75"/>
        <v>#N/A</v>
      </c>
      <c r="H648">
        <f t="shared" si="76"/>
        <v>0.68978328229854113</v>
      </c>
      <c r="I648" t="e">
        <f t="shared" si="77"/>
        <v>#N/A</v>
      </c>
      <c r="K648" s="44">
        <f ca="1">Weibull!D58</f>
        <v>22.785629313647728</v>
      </c>
    </row>
    <row r="649" spans="4:11" x14ac:dyDescent="0.25">
      <c r="D649">
        <v>27</v>
      </c>
      <c r="E649" s="25">
        <f t="shared" si="78"/>
        <v>24.337989768282</v>
      </c>
      <c r="F649">
        <f t="shared" si="74"/>
        <v>1.4807347599700035E-2</v>
      </c>
      <c r="G649" t="e">
        <f t="shared" si="75"/>
        <v>#N/A</v>
      </c>
      <c r="H649">
        <f t="shared" si="76"/>
        <v>0.70385304800599935</v>
      </c>
      <c r="I649" t="e">
        <f t="shared" si="77"/>
        <v>#N/A</v>
      </c>
      <c r="K649" s="44">
        <f ca="1">Weibull!D59</f>
        <v>32.546195456239417</v>
      </c>
    </row>
    <row r="650" spans="4:11" x14ac:dyDescent="0.25">
      <c r="D650">
        <v>28</v>
      </c>
      <c r="E650" s="25">
        <f t="shared" si="78"/>
        <v>25.266296808713228</v>
      </c>
      <c r="F650">
        <f t="shared" si="74"/>
        <v>1.4135765768068487E-2</v>
      </c>
      <c r="G650" t="e">
        <f t="shared" si="75"/>
        <v>#N/A</v>
      </c>
      <c r="H650">
        <f t="shared" si="76"/>
        <v>0.71728468463863027</v>
      </c>
      <c r="I650" t="e">
        <f t="shared" si="77"/>
        <v>#N/A</v>
      </c>
      <c r="K650" s="44">
        <f ca="1">Weibull!D60</f>
        <v>5.6003921915399211</v>
      </c>
    </row>
    <row r="651" spans="4:11" x14ac:dyDescent="0.25">
      <c r="D651">
        <v>29</v>
      </c>
      <c r="E651" s="25">
        <f t="shared" si="78"/>
        <v>26.194603849144457</v>
      </c>
      <c r="F651">
        <f t="shared" si="74"/>
        <v>1.349464328464503E-2</v>
      </c>
      <c r="G651" t="e">
        <f t="shared" si="75"/>
        <v>#N/A</v>
      </c>
      <c r="H651">
        <f t="shared" si="76"/>
        <v>0.7301071343070995</v>
      </c>
      <c r="I651" t="e">
        <f t="shared" si="77"/>
        <v>#N/A</v>
      </c>
      <c r="K651" s="44">
        <f ca="1">Weibull!D61</f>
        <v>39.354182014501731</v>
      </c>
    </row>
    <row r="652" spans="4:11" x14ac:dyDescent="0.25">
      <c r="D652">
        <v>30</v>
      </c>
      <c r="E652" s="25">
        <f t="shared" si="78"/>
        <v>27.122910889575685</v>
      </c>
      <c r="F652">
        <f t="shared" si="74"/>
        <v>1.2882598676838303E-2</v>
      </c>
      <c r="G652" t="e">
        <f t="shared" si="75"/>
        <v>#N/A</v>
      </c>
      <c r="H652">
        <f t="shared" si="76"/>
        <v>0.74234802646323406</v>
      </c>
      <c r="I652" t="e">
        <f t="shared" si="77"/>
        <v>#N/A</v>
      </c>
      <c r="K652" s="44">
        <f ca="1">Weibull!D62</f>
        <v>3.3929642997172564</v>
      </c>
    </row>
    <row r="653" spans="4:11" x14ac:dyDescent="0.25">
      <c r="D653">
        <v>31</v>
      </c>
      <c r="E653" s="25">
        <f t="shared" si="78"/>
        <v>28.051217930006914</v>
      </c>
      <c r="F653">
        <f t="shared" si="74"/>
        <v>1.2298313128240758E-2</v>
      </c>
      <c r="G653" t="e">
        <f t="shared" si="75"/>
        <v>#N/A</v>
      </c>
      <c r="H653">
        <f t="shared" si="76"/>
        <v>0.75403373743518487</v>
      </c>
      <c r="I653" t="e">
        <f t="shared" si="77"/>
        <v>#N/A</v>
      </c>
      <c r="K653" s="44">
        <f ca="1">Weibull!D63</f>
        <v>5.5257064041460744</v>
      </c>
    </row>
    <row r="654" spans="4:11" x14ac:dyDescent="0.25">
      <c r="D654">
        <v>32</v>
      </c>
      <c r="E654" s="25">
        <f t="shared" si="78"/>
        <v>28.979524970438142</v>
      </c>
      <c r="F654">
        <f t="shared" si="74"/>
        <v>1.1740527636880403E-2</v>
      </c>
      <c r="G654" t="e">
        <f t="shared" si="75"/>
        <v>#N/A</v>
      </c>
      <c r="H654">
        <f t="shared" si="76"/>
        <v>0.76518944726239202</v>
      </c>
      <c r="I654" t="e">
        <f t="shared" si="77"/>
        <v>#N/A</v>
      </c>
      <c r="K654" s="44">
        <f ca="1">Weibull!D64</f>
        <v>16.177309411918969</v>
      </c>
    </row>
    <row r="655" spans="4:11" x14ac:dyDescent="0.25">
      <c r="D655">
        <v>33</v>
      </c>
      <c r="E655" s="25">
        <f t="shared" si="78"/>
        <v>29.90783201086937</v>
      </c>
      <c r="F655">
        <f t="shared" si="74"/>
        <v>1.1208040302358946E-2</v>
      </c>
      <c r="G655" t="e">
        <f t="shared" si="75"/>
        <v>#N/A</v>
      </c>
      <c r="H655">
        <f t="shared" si="76"/>
        <v>0.77583919395282108</v>
      </c>
      <c r="I655" t="e">
        <f t="shared" si="77"/>
        <v>#N/A</v>
      </c>
      <c r="K655" s="44">
        <f ca="1">Weibull!D65</f>
        <v>40.053287021795057</v>
      </c>
    </row>
    <row r="656" spans="4:11" x14ac:dyDescent="0.25">
      <c r="D656">
        <v>34</v>
      </c>
      <c r="E656" s="25">
        <f t="shared" si="78"/>
        <v>30.836139051300599</v>
      </c>
      <c r="F656">
        <f t="shared" si="74"/>
        <v>1.0699703736030824E-2</v>
      </c>
      <c r="G656" t="e">
        <f t="shared" si="75"/>
        <v>#N/A</v>
      </c>
      <c r="H656">
        <f t="shared" si="76"/>
        <v>0.78600592527938362</v>
      </c>
      <c r="I656" t="e">
        <f t="shared" si="77"/>
        <v>#N/A</v>
      </c>
      <c r="K656" s="44">
        <f ca="1">Weibull!D66</f>
        <v>16.426097630085984</v>
      </c>
    </row>
    <row r="657" spans="4:11" x14ac:dyDescent="0.25">
      <c r="D657">
        <v>35</v>
      </c>
      <c r="E657" s="25">
        <f t="shared" si="78"/>
        <v>31.764446091731827</v>
      </c>
      <c r="F657">
        <f t="shared" si="74"/>
        <v>1.0214422588642613E-2</v>
      </c>
      <c r="G657" t="e">
        <f t="shared" si="75"/>
        <v>#N/A</v>
      </c>
      <c r="H657">
        <f t="shared" si="76"/>
        <v>0.79571154822714774</v>
      </c>
      <c r="I657" t="e">
        <f t="shared" si="77"/>
        <v>#N/A</v>
      </c>
      <c r="K657" s="44">
        <f ca="1">Weibull!D67</f>
        <v>2.3941492901420762</v>
      </c>
    </row>
    <row r="658" spans="4:11" x14ac:dyDescent="0.25">
      <c r="D658">
        <v>36</v>
      </c>
      <c r="E658" s="25">
        <f t="shared" si="78"/>
        <v>32.692753132163055</v>
      </c>
      <c r="F658">
        <f t="shared" si="74"/>
        <v>9.751151190105424E-3</v>
      </c>
      <c r="G658" t="e">
        <f t="shared" si="75"/>
        <v>#N/A</v>
      </c>
      <c r="H658">
        <f t="shared" si="76"/>
        <v>0.80497697619789155</v>
      </c>
      <c r="I658" t="e">
        <f t="shared" si="77"/>
        <v>#N/A</v>
      </c>
      <c r="K658" s="44">
        <f ca="1">Weibull!D68</f>
        <v>52.923999067098791</v>
      </c>
    </row>
    <row r="659" spans="4:11" x14ac:dyDescent="0.25">
      <c r="D659">
        <v>37</v>
      </c>
      <c r="E659" s="25">
        <f t="shared" si="78"/>
        <v>33.621060172594284</v>
      </c>
      <c r="F659">
        <f t="shared" si="74"/>
        <v>9.3088912963145993E-3</v>
      </c>
      <c r="G659" t="e">
        <f t="shared" si="75"/>
        <v>#N/A</v>
      </c>
      <c r="H659">
        <f t="shared" si="76"/>
        <v>0.81382217407370805</v>
      </c>
      <c r="I659" t="e">
        <f t="shared" si="77"/>
        <v>#N/A</v>
      </c>
      <c r="K659" s="44">
        <f ca="1">Weibull!D69</f>
        <v>63.203847895750982</v>
      </c>
    </row>
    <row r="660" spans="4:11" x14ac:dyDescent="0.25">
      <c r="D660">
        <v>38</v>
      </c>
      <c r="E660" s="25">
        <f t="shared" si="78"/>
        <v>34.549367213025512</v>
      </c>
      <c r="F660">
        <f t="shared" si="74"/>
        <v>8.8866899381615291E-3</v>
      </c>
      <c r="G660" t="e">
        <f t="shared" si="75"/>
        <v>#N/A</v>
      </c>
      <c r="H660">
        <f t="shared" si="76"/>
        <v>0.82226620123676941</v>
      </c>
      <c r="I660" t="e">
        <f t="shared" si="77"/>
        <v>#N/A</v>
      </c>
      <c r="K660" s="44">
        <f ca="1">Weibull!D70</f>
        <v>23.756577568422095</v>
      </c>
    </row>
    <row r="661" spans="4:11" x14ac:dyDescent="0.25">
      <c r="D661">
        <v>39</v>
      </c>
      <c r="E661" s="25">
        <f t="shared" si="78"/>
        <v>35.47767425345674</v>
      </c>
      <c r="F661">
        <f t="shared" si="74"/>
        <v>8.4836373681027918E-3</v>
      </c>
      <c r="G661" t="e">
        <f t="shared" si="75"/>
        <v>#N/A</v>
      </c>
      <c r="H661">
        <f t="shared" si="76"/>
        <v>0.83032725263794416</v>
      </c>
      <c r="I661" t="e">
        <f t="shared" si="77"/>
        <v>#N/A</v>
      </c>
      <c r="K661" s="44">
        <f ca="1">Weibull!D71</f>
        <v>21.294007684984532</v>
      </c>
    </row>
    <row r="662" spans="4:11" x14ac:dyDescent="0.25">
      <c r="D662">
        <v>40</v>
      </c>
      <c r="E662" s="25">
        <f t="shared" si="78"/>
        <v>36.405981293887969</v>
      </c>
      <c r="F662">
        <f t="shared" si="74"/>
        <v>8.0988650998618707E-3</v>
      </c>
      <c r="G662" t="e">
        <f t="shared" si="75"/>
        <v>#N/A</v>
      </c>
      <c r="H662">
        <f t="shared" si="76"/>
        <v>0.83802269800276263</v>
      </c>
      <c r="I662" t="e">
        <f t="shared" si="77"/>
        <v>#N/A</v>
      </c>
      <c r="K662" s="44">
        <f ca="1">Weibull!D72</f>
        <v>13.059723719858026</v>
      </c>
    </row>
    <row r="663" spans="4:11" x14ac:dyDescent="0.25">
      <c r="D663">
        <v>41</v>
      </c>
      <c r="E663" s="25">
        <f t="shared" si="78"/>
        <v>37.334288334319197</v>
      </c>
      <c r="F663">
        <f t="shared" si="74"/>
        <v>7.731544037039499E-3</v>
      </c>
      <c r="G663" t="e">
        <f t="shared" si="75"/>
        <v>#N/A</v>
      </c>
      <c r="H663">
        <f t="shared" si="76"/>
        <v>0.8453691192592101</v>
      </c>
      <c r="I663" t="e">
        <f t="shared" si="77"/>
        <v>#N/A</v>
      </c>
      <c r="K663" s="44">
        <f ca="1">Weibull!D73</f>
        <v>2.3884181629288941</v>
      </c>
    </row>
    <row r="664" spans="4:11" x14ac:dyDescent="0.25">
      <c r="D664">
        <v>42</v>
      </c>
      <c r="E664" s="25">
        <f t="shared" si="78"/>
        <v>38.262595374750425</v>
      </c>
      <c r="F664">
        <f t="shared" si="74"/>
        <v>7.3808826866001986E-3</v>
      </c>
      <c r="G664" t="e">
        <f t="shared" si="75"/>
        <v>#N/A</v>
      </c>
      <c r="H664">
        <f t="shared" si="76"/>
        <v>0.85238234626799603</v>
      </c>
      <c r="I664" t="e">
        <f t="shared" si="77"/>
        <v>#N/A</v>
      </c>
      <c r="K664" s="44">
        <f ca="1">Weibull!D74</f>
        <v>28.783939578838826</v>
      </c>
    </row>
    <row r="665" spans="4:11" x14ac:dyDescent="0.25">
      <c r="D665">
        <v>43</v>
      </c>
      <c r="E665" s="25">
        <f t="shared" si="78"/>
        <v>39.190902415181654</v>
      </c>
      <c r="F665">
        <f t="shared" si="74"/>
        <v>7.0461254533854545E-3</v>
      </c>
      <c r="G665" t="e">
        <f t="shared" si="75"/>
        <v>#N/A</v>
      </c>
      <c r="H665">
        <f t="shared" si="76"/>
        <v>0.85907749093229091</v>
      </c>
      <c r="I665" t="e">
        <f t="shared" si="77"/>
        <v>#N/A</v>
      </c>
      <c r="K665" s="44">
        <f ca="1">Weibull!D75</f>
        <v>1.0376546145503713</v>
      </c>
    </row>
    <row r="666" spans="4:11" x14ac:dyDescent="0.25">
      <c r="D666">
        <v>44</v>
      </c>
      <c r="E666" s="25">
        <f t="shared" si="78"/>
        <v>40.119209455612882</v>
      </c>
      <c r="F666">
        <f t="shared" si="74"/>
        <v>6.7265510119786671E-3</v>
      </c>
      <c r="G666" t="e">
        <f t="shared" si="75"/>
        <v>#N/A</v>
      </c>
      <c r="H666">
        <f t="shared" si="76"/>
        <v>0.86546897976042669</v>
      </c>
      <c r="I666" t="e">
        <f t="shared" si="77"/>
        <v>#N/A</v>
      </c>
      <c r="K666" s="44">
        <f ca="1">Weibull!D76</f>
        <v>25.956564598567489</v>
      </c>
    </row>
    <row r="667" spans="4:11" x14ac:dyDescent="0.25">
      <c r="D667">
        <v>45</v>
      </c>
      <c r="E667" s="25">
        <f t="shared" si="78"/>
        <v>41.047516496044111</v>
      </c>
      <c r="F667">
        <f t="shared" si="74"/>
        <v>6.4214707524135268E-3</v>
      </c>
      <c r="G667" t="e">
        <f t="shared" si="75"/>
        <v>#N/A</v>
      </c>
      <c r="H667">
        <f t="shared" si="76"/>
        <v>0.87157058495172945</v>
      </c>
      <c r="I667" t="e">
        <f t="shared" si="77"/>
        <v>#N/A</v>
      </c>
      <c r="K667" s="44">
        <f ca="1">Weibull!D77</f>
        <v>7.7198313682304658</v>
      </c>
    </row>
    <row r="668" spans="4:11" x14ac:dyDescent="0.25">
      <c r="D668">
        <v>46</v>
      </c>
      <c r="E668" s="25">
        <f t="shared" si="78"/>
        <v>41.975823536475339</v>
      </c>
      <c r="F668">
        <f t="shared" si="74"/>
        <v>6.1302272963767654E-3</v>
      </c>
      <c r="G668" t="e">
        <f t="shared" si="75"/>
        <v>#N/A</v>
      </c>
      <c r="H668">
        <f t="shared" si="76"/>
        <v>0.87739545407246466</v>
      </c>
      <c r="I668" t="e">
        <f t="shared" si="77"/>
        <v>#N/A</v>
      </c>
      <c r="K668" s="44">
        <f ca="1">Weibull!D78</f>
        <v>0.35828012207548027</v>
      </c>
    </row>
    <row r="669" spans="4:11" x14ac:dyDescent="0.25">
      <c r="D669">
        <v>47</v>
      </c>
      <c r="E669" s="25">
        <f t="shared" si="78"/>
        <v>42.904130576906567</v>
      </c>
      <c r="F669">
        <f t="shared" si="74"/>
        <v>5.8521930807079285E-3</v>
      </c>
      <c r="G669" t="e">
        <f t="shared" si="75"/>
        <v>#N/A</v>
      </c>
      <c r="H669">
        <f t="shared" si="76"/>
        <v>0.88295613838584142</v>
      </c>
      <c r="I669" t="e">
        <f t="shared" si="77"/>
        <v>#N/A</v>
      </c>
      <c r="K669" s="44">
        <f ca="1">Weibull!D79</f>
        <v>0.52053274978294994</v>
      </c>
    </row>
    <row r="670" spans="4:11" x14ac:dyDescent="0.25">
      <c r="D670">
        <v>48</v>
      </c>
      <c r="E670" s="25">
        <f t="shared" si="78"/>
        <v>43.832437617337796</v>
      </c>
      <c r="F670">
        <f t="shared" si="74"/>
        <v>5.5867690051440554E-3</v>
      </c>
      <c r="G670" t="e">
        <f t="shared" si="75"/>
        <v>#N/A</v>
      </c>
      <c r="H670">
        <f t="shared" si="76"/>
        <v>0.88826461989711891</v>
      </c>
      <c r="I670" t="e">
        <f t="shared" si="77"/>
        <v>#N/A</v>
      </c>
      <c r="K670" s="44">
        <f ca="1">Weibull!D80</f>
        <v>2.8418032263919901</v>
      </c>
    </row>
    <row r="671" spans="4:11" x14ac:dyDescent="0.25">
      <c r="D671">
        <v>49</v>
      </c>
      <c r="E671" s="25">
        <f t="shared" si="78"/>
        <v>44.760744657769024</v>
      </c>
      <c r="F671">
        <f t="shared" si="74"/>
        <v>5.3333831413953708E-3</v>
      </c>
      <c r="G671" t="e">
        <f t="shared" si="75"/>
        <v>#N/A</v>
      </c>
      <c r="H671">
        <f t="shared" si="76"/>
        <v>0.89333233717209259</v>
      </c>
      <c r="I671" t="e">
        <f t="shared" si="77"/>
        <v>#N/A</v>
      </c>
      <c r="K671" s="44">
        <f ca="1">Weibull!D81</f>
        <v>2.4242764290236507</v>
      </c>
    </row>
    <row r="672" spans="4:11" x14ac:dyDescent="0.25">
      <c r="D672">
        <v>50</v>
      </c>
      <c r="E672" s="25">
        <f t="shared" si="78"/>
        <v>45.689051698200252</v>
      </c>
      <c r="F672">
        <f t="shared" si="74"/>
        <v>5.0914895007703794E-3</v>
      </c>
      <c r="G672" t="e">
        <f t="shared" si="75"/>
        <v>#N/A</v>
      </c>
      <c r="H672">
        <f t="shared" si="76"/>
        <v>0.8981702099845924</v>
      </c>
      <c r="I672" t="e">
        <f t="shared" si="77"/>
        <v>#N/A</v>
      </c>
      <c r="K672" s="44">
        <f ca="1">Weibull!D82</f>
        <v>58.500986106358468</v>
      </c>
    </row>
    <row r="673" spans="4:11" x14ac:dyDescent="0.25">
      <c r="D673">
        <v>51</v>
      </c>
      <c r="E673" s="25">
        <f t="shared" si="78"/>
        <v>46.617358738631481</v>
      </c>
      <c r="F673">
        <f t="shared" si="74"/>
        <v>4.8605668576948936E-3</v>
      </c>
      <c r="G673" t="e">
        <f t="shared" si="75"/>
        <v>#N/A</v>
      </c>
      <c r="H673">
        <f t="shared" si="76"/>
        <v>0.90278866284610215</v>
      </c>
      <c r="I673" t="e">
        <f t="shared" si="77"/>
        <v>#N/A</v>
      </c>
      <c r="K673" s="44">
        <f ca="1">Weibull!D83</f>
        <v>37.346751585612182</v>
      </c>
    </row>
    <row r="674" spans="4:11" x14ac:dyDescent="0.25">
      <c r="D674">
        <v>52</v>
      </c>
      <c r="E674" s="25">
        <f t="shared" si="78"/>
        <v>47.545665779062709</v>
      </c>
      <c r="F674">
        <f t="shared" si="74"/>
        <v>4.6401176265898946E-3</v>
      </c>
      <c r="G674" t="e">
        <f t="shared" si="75"/>
        <v>#N/A</v>
      </c>
      <c r="H674">
        <f t="shared" si="76"/>
        <v>0.90719764746820208</v>
      </c>
      <c r="I674" t="e">
        <f t="shared" si="77"/>
        <v>#N/A</v>
      </c>
      <c r="K674" s="44">
        <f ca="1">Weibull!D84</f>
        <v>91.663229596643006</v>
      </c>
    </row>
    <row r="675" spans="4:11" x14ac:dyDescent="0.25">
      <c r="D675">
        <v>53</v>
      </c>
      <c r="E675" s="25">
        <f t="shared" si="78"/>
        <v>48.473972819493937</v>
      </c>
      <c r="F675">
        <f t="shared" si="74"/>
        <v>4.429666789688206E-3</v>
      </c>
      <c r="G675" t="e">
        <f t="shared" si="75"/>
        <v>#N/A</v>
      </c>
      <c r="H675">
        <f t="shared" si="76"/>
        <v>0.91140666420623595</v>
      </c>
      <c r="I675" t="e">
        <f t="shared" si="77"/>
        <v>#N/A</v>
      </c>
      <c r="K675" s="44">
        <f ca="1">Weibull!D85</f>
        <v>0.8833831198109694</v>
      </c>
    </row>
    <row r="676" spans="4:11" x14ac:dyDescent="0.25">
      <c r="D676">
        <v>54</v>
      </c>
      <c r="E676" s="25">
        <f t="shared" si="78"/>
        <v>49.402279859925166</v>
      </c>
      <c r="F676">
        <f t="shared" si="74"/>
        <v>4.2287608734796539E-3</v>
      </c>
      <c r="G676" t="e">
        <f t="shared" si="75"/>
        <v>#N/A</v>
      </c>
      <c r="H676">
        <f t="shared" si="76"/>
        <v>0.91542478253040693</v>
      </c>
      <c r="I676" t="e">
        <f t="shared" si="77"/>
        <v>#N/A</v>
      </c>
      <c r="K676" s="44">
        <f ca="1">Weibull!D86</f>
        <v>45.783105623516875</v>
      </c>
    </row>
    <row r="677" spans="4:11" x14ac:dyDescent="0.25">
      <c r="D677">
        <v>55</v>
      </c>
      <c r="E677" s="25">
        <f t="shared" si="78"/>
        <v>50.330586900356394</v>
      </c>
      <c r="F677">
        <f t="shared" si="74"/>
        <v>4.0369669715791629E-3</v>
      </c>
      <c r="G677" t="e">
        <f t="shared" si="75"/>
        <v>#N/A</v>
      </c>
      <c r="H677">
        <f t="shared" si="76"/>
        <v>0.91926066056841671</v>
      </c>
      <c r="I677" t="e">
        <f t="shared" si="77"/>
        <v>#N/A</v>
      </c>
      <c r="K677" s="44">
        <f ca="1">Weibull!D87</f>
        <v>6.755699292007705</v>
      </c>
    </row>
    <row r="678" spans="4:11" x14ac:dyDescent="0.25">
      <c r="D678">
        <v>56</v>
      </c>
      <c r="E678" s="25">
        <f t="shared" si="78"/>
        <v>51.258893940787623</v>
      </c>
      <c r="F678">
        <f t="shared" si="74"/>
        <v>3.8538718119123421E-3</v>
      </c>
      <c r="G678" t="e">
        <f t="shared" si="75"/>
        <v>#N/A</v>
      </c>
      <c r="H678">
        <f t="shared" si="76"/>
        <v>0.92292256376175319</v>
      </c>
      <c r="I678" t="e">
        <f t="shared" si="77"/>
        <v>#N/A</v>
      </c>
      <c r="K678" s="44">
        <f ca="1">Weibull!D88</f>
        <v>4.6978169045555704</v>
      </c>
    </row>
    <row r="679" spans="4:11" x14ac:dyDescent="0.25">
      <c r="D679">
        <v>57</v>
      </c>
      <c r="E679" s="25">
        <f t="shared" si="78"/>
        <v>52.187200981218851</v>
      </c>
      <c r="F679">
        <f t="shared" si="74"/>
        <v>3.679080866208486E-3</v>
      </c>
      <c r="G679" t="e">
        <f t="shared" si="75"/>
        <v>#N/A</v>
      </c>
      <c r="H679">
        <f t="shared" si="76"/>
        <v>0.92641838267583032</v>
      </c>
      <c r="I679" t="e">
        <f t="shared" si="77"/>
        <v>#N/A</v>
      </c>
      <c r="K679" s="44">
        <f ca="1">Weibull!D89</f>
        <v>17.306903613719282</v>
      </c>
    </row>
    <row r="680" spans="4:11" x14ac:dyDescent="0.25">
      <c r="D680">
        <v>58</v>
      </c>
      <c r="E680" s="25">
        <f t="shared" si="78"/>
        <v>53.115508021650079</v>
      </c>
      <c r="F680">
        <f t="shared" si="74"/>
        <v>3.5122174998822352E-3</v>
      </c>
      <c r="G680" t="e">
        <f t="shared" si="75"/>
        <v>#N/A</v>
      </c>
      <c r="H680">
        <f t="shared" si="76"/>
        <v>0.92975565000235527</v>
      </c>
      <c r="I680" t="e">
        <f t="shared" si="77"/>
        <v>#N/A</v>
      </c>
      <c r="K680" s="44">
        <f ca="1">Weibull!D90</f>
        <v>6.088975419237701</v>
      </c>
    </row>
    <row r="681" spans="4:11" x14ac:dyDescent="0.25">
      <c r="D681">
        <v>59</v>
      </c>
      <c r="E681" s="25">
        <f t="shared" si="78"/>
        <v>54.043815062081308</v>
      </c>
      <c r="F681">
        <f t="shared" si="74"/>
        <v>3.3529221604720167E-3</v>
      </c>
      <c r="G681" t="e">
        <f t="shared" si="75"/>
        <v>#N/A</v>
      </c>
      <c r="H681">
        <f t="shared" si="76"/>
        <v>0.93294155679055968</v>
      </c>
      <c r="I681" t="e">
        <f t="shared" si="77"/>
        <v>#N/A</v>
      </c>
      <c r="K681" s="44">
        <f ca="1">Weibull!D91</f>
        <v>25.934462406499073</v>
      </c>
    </row>
    <row r="682" spans="4:11" x14ac:dyDescent="0.25">
      <c r="D682">
        <v>60</v>
      </c>
      <c r="E682" s="25">
        <f t="shared" si="78"/>
        <v>54.972122102512536</v>
      </c>
      <c r="F682">
        <f t="shared" si="74"/>
        <v>3.2008516028865755E-3</v>
      </c>
      <c r="G682" t="e">
        <f t="shared" si="75"/>
        <v>#N/A</v>
      </c>
      <c r="H682">
        <f t="shared" si="76"/>
        <v>0.93598296794226854</v>
      </c>
      <c r="I682" t="e">
        <f t="shared" si="77"/>
        <v>#N/A</v>
      </c>
      <c r="K682" s="44">
        <f ca="1">Weibull!D92</f>
        <v>49.479328063439347</v>
      </c>
    </row>
    <row r="683" spans="4:11" x14ac:dyDescent="0.25">
      <c r="D683">
        <v>61</v>
      </c>
      <c r="E683" s="25">
        <f t="shared" si="78"/>
        <v>55.900429142943764</v>
      </c>
      <c r="F683">
        <f t="shared" si="74"/>
        <v>3.0556781497901621E-3</v>
      </c>
      <c r="G683" t="e">
        <f t="shared" si="75"/>
        <v>#N/A</v>
      </c>
      <c r="H683">
        <f t="shared" si="76"/>
        <v>0.93888643700419672</v>
      </c>
      <c r="I683" t="e">
        <f t="shared" si="77"/>
        <v>#N/A</v>
      </c>
      <c r="K683" s="44">
        <f ca="1">Weibull!D93</f>
        <v>16.455145308930099</v>
      </c>
    </row>
    <row r="684" spans="4:11" x14ac:dyDescent="0.25">
      <c r="D684">
        <v>62</v>
      </c>
      <c r="E684" s="25">
        <f t="shared" si="78"/>
        <v>56.828736183374993</v>
      </c>
      <c r="F684">
        <f t="shared" si="74"/>
        <v>2.9170889855326719E-3</v>
      </c>
      <c r="G684" t="e">
        <f t="shared" si="75"/>
        <v>#N/A</v>
      </c>
      <c r="H684">
        <f t="shared" si="76"/>
        <v>0.94165822028934654</v>
      </c>
      <c r="I684" t="e">
        <f t="shared" si="77"/>
        <v>#N/A</v>
      </c>
      <c r="K684" s="44">
        <f ca="1">Weibull!D94</f>
        <v>8.5576951792906222</v>
      </c>
    </row>
    <row r="685" spans="4:11" x14ac:dyDescent="0.25">
      <c r="D685">
        <v>63</v>
      </c>
      <c r="E685" s="25">
        <f t="shared" si="78"/>
        <v>57.757043223806221</v>
      </c>
      <c r="F685">
        <f t="shared" si="74"/>
        <v>2.7847854821033378E-3</v>
      </c>
      <c r="G685" t="e">
        <f t="shared" si="75"/>
        <v>#N/A</v>
      </c>
      <c r="H685">
        <f t="shared" si="76"/>
        <v>0.94430429035793328</v>
      </c>
      <c r="I685" t="e">
        <f t="shared" si="77"/>
        <v>#N/A</v>
      </c>
      <c r="K685" s="44">
        <f ca="1">Weibull!D95</f>
        <v>1.9213295242129877</v>
      </c>
    </row>
    <row r="686" spans="4:11" x14ac:dyDescent="0.25">
      <c r="D686">
        <v>64</v>
      </c>
      <c r="E686" s="25">
        <f t="shared" si="78"/>
        <v>58.685350264237449</v>
      </c>
      <c r="F686">
        <f t="shared" si="74"/>
        <v>2.6584825556555391E-3</v>
      </c>
      <c r="G686" t="e">
        <f t="shared" si="75"/>
        <v>#N/A</v>
      </c>
      <c r="H686">
        <f t="shared" si="76"/>
        <v>0.94683034888688922</v>
      </c>
      <c r="I686" t="e">
        <f t="shared" si="77"/>
        <v>#N/A</v>
      </c>
      <c r="K686" s="44">
        <f ca="1">Weibull!D96</f>
        <v>79.208052133430115</v>
      </c>
    </row>
    <row r="687" spans="4:11" x14ac:dyDescent="0.25">
      <c r="D687">
        <v>65</v>
      </c>
      <c r="E687" s="25">
        <f t="shared" si="78"/>
        <v>59.613657304668678</v>
      </c>
      <c r="F687">
        <f t="shared" si="74"/>
        <v>2.537908052216189E-3</v>
      </c>
      <c r="G687" t="e">
        <f t="shared" si="75"/>
        <v>#N/A</v>
      </c>
      <c r="H687">
        <f t="shared" si="76"/>
        <v>0.94924183895567626</v>
      </c>
      <c r="I687" t="e">
        <f t="shared" si="77"/>
        <v>#N/A</v>
      </c>
      <c r="K687" s="44">
        <f ca="1">Weibull!D97</f>
        <v>3.2857994121420071</v>
      </c>
    </row>
    <row r="688" spans="4:11" x14ac:dyDescent="0.25">
      <c r="D688">
        <v>66</v>
      </c>
      <c r="E688" s="25">
        <f t="shared" si="78"/>
        <v>60.541964345099906</v>
      </c>
      <c r="F688">
        <f t="shared" ref="F688:F722" si="82">WEIBULL(E688,$B$629,$B$630,0)</f>
        <v>2.4228021612560605E-3</v>
      </c>
      <c r="G688" t="e">
        <f t="shared" ref="G688:G722" si="83">IF(OR($E688&gt;$B$626,$E688&lt;$B$625),NA(),$F688)</f>
        <v>#N/A</v>
      </c>
      <c r="H688">
        <f t="shared" ref="H688:H722" si="84">WEIBULL(E688,$B$629,$B$630,1)</f>
        <v>0.9515439567748788</v>
      </c>
      <c r="I688" t="e">
        <f t="shared" ref="I688:I722" si="85">IF(OR($E688&gt;$B$626,$E688&lt;$B$625),NA(),$H688)</f>
        <v>#N/A</v>
      </c>
      <c r="K688" s="44">
        <f ca="1">Weibull!D98</f>
        <v>37.567061733119878</v>
      </c>
    </row>
    <row r="689" spans="4:11" x14ac:dyDescent="0.25">
      <c r="D689">
        <v>67</v>
      </c>
      <c r="E689" s="25">
        <f t="shared" ref="E689:E722" si="86">($B$628-$B$627)/99+E688</f>
        <v>61.470271385531134</v>
      </c>
      <c r="F689">
        <f t="shared" si="82"/>
        <v>2.3129168558573962E-3</v>
      </c>
      <c r="G689" t="e">
        <f t="shared" si="83"/>
        <v>#N/A</v>
      </c>
      <c r="H689">
        <f t="shared" si="84"/>
        <v>0.95374166288285211</v>
      </c>
      <c r="I689" t="e">
        <f t="shared" si="85"/>
        <v>#N/A</v>
      </c>
      <c r="K689" s="44">
        <f ca="1">Weibull!D99</f>
        <v>11.854817565367279</v>
      </c>
    </row>
    <row r="690" spans="4:11" x14ac:dyDescent="0.25">
      <c r="D690">
        <v>68</v>
      </c>
      <c r="E690" s="25">
        <f t="shared" si="86"/>
        <v>62.398578425962363</v>
      </c>
      <c r="F690">
        <f t="shared" si="82"/>
        <v>2.2080153582725299E-3</v>
      </c>
      <c r="G690" t="e">
        <f t="shared" si="83"/>
        <v>#N/A</v>
      </c>
      <c r="H690">
        <f t="shared" si="84"/>
        <v>0.95583969283454939</v>
      </c>
      <c r="I690" t="e">
        <f t="shared" si="85"/>
        <v>#N/A</v>
      </c>
      <c r="K690" s="44">
        <f ca="1">Weibull!D100</f>
        <v>9.6893956805800823</v>
      </c>
    </row>
    <row r="691" spans="4:11" x14ac:dyDescent="0.25">
      <c r="D691">
        <v>69</v>
      </c>
      <c r="E691" s="25">
        <f t="shared" si="86"/>
        <v>63.326885466393591</v>
      </c>
      <c r="F691">
        <f t="shared" si="82"/>
        <v>2.1078716297218956E-3</v>
      </c>
      <c r="G691" t="e">
        <f t="shared" si="83"/>
        <v>#N/A</v>
      </c>
      <c r="H691">
        <f t="shared" si="84"/>
        <v>0.95784256740556206</v>
      </c>
      <c r="I691" t="e">
        <f t="shared" si="85"/>
        <v>#N/A</v>
      </c>
      <c r="K691" s="44">
        <f ca="1">Weibull!D101</f>
        <v>27.201724249830363</v>
      </c>
    </row>
    <row r="692" spans="4:11" x14ac:dyDescent="0.25">
      <c r="D692">
        <v>70</v>
      </c>
      <c r="E692" s="25">
        <f t="shared" si="86"/>
        <v>64.255192506824827</v>
      </c>
      <c r="F692">
        <f t="shared" si="82"/>
        <v>2.0122698833320483E-3</v>
      </c>
      <c r="G692" t="e">
        <f t="shared" si="83"/>
        <v>#N/A</v>
      </c>
      <c r="H692">
        <f t="shared" si="84"/>
        <v>0.95975460233335907</v>
      </c>
      <c r="I692" t="e">
        <f t="shared" si="85"/>
        <v>#N/A</v>
      </c>
      <c r="K692" s="44">
        <f ca="1">Weibull!D102</f>
        <v>77.035108022327591</v>
      </c>
    </row>
    <row r="693" spans="4:11" x14ac:dyDescent="0.25">
      <c r="D693">
        <v>71</v>
      </c>
      <c r="E693" s="25">
        <f t="shared" si="86"/>
        <v>65.183499547256062</v>
      </c>
      <c r="F693">
        <f t="shared" si="82"/>
        <v>1.9210041191642291E-3</v>
      </c>
      <c r="G693" t="e">
        <f t="shared" si="83"/>
        <v>#N/A</v>
      </c>
      <c r="H693">
        <f t="shared" si="84"/>
        <v>0.96157991761671546</v>
      </c>
      <c r="I693" t="e">
        <f t="shared" si="85"/>
        <v>#N/A</v>
      </c>
      <c r="K693" s="44">
        <f ca="1">Weibull!D103</f>
        <v>0.14217674541434719</v>
      </c>
    </row>
    <row r="694" spans="4:11" x14ac:dyDescent="0.25">
      <c r="D694">
        <v>72</v>
      </c>
      <c r="E694" s="25">
        <f t="shared" si="86"/>
        <v>66.111806587687298</v>
      </c>
      <c r="F694">
        <f t="shared" si="82"/>
        <v>1.8338776803315103E-3</v>
      </c>
      <c r="G694" t="e">
        <f t="shared" si="83"/>
        <v>#N/A</v>
      </c>
      <c r="H694">
        <f t="shared" si="84"/>
        <v>0.96332244639336984</v>
      </c>
      <c r="I694" t="e">
        <f t="shared" si="85"/>
        <v>#N/A</v>
      </c>
      <c r="K694" s="44">
        <f ca="1">Weibull!D104</f>
        <v>57.473187774567663</v>
      </c>
    </row>
    <row r="695" spans="4:11" x14ac:dyDescent="0.25">
      <c r="D695">
        <v>73</v>
      </c>
      <c r="E695" s="25">
        <f t="shared" si="86"/>
        <v>67.040113628118533</v>
      </c>
      <c r="F695">
        <f t="shared" si="82"/>
        <v>1.750702829248104E-3</v>
      </c>
      <c r="G695" t="e">
        <f t="shared" si="83"/>
        <v>#N/A</v>
      </c>
      <c r="H695">
        <f t="shared" si="84"/>
        <v>0.96498594341503796</v>
      </c>
      <c r="I695" t="e">
        <f t="shared" si="85"/>
        <v>#N/A</v>
      </c>
      <c r="K695" s="44">
        <f ca="1">Weibull!D105</f>
        <v>7.7602266631243708</v>
      </c>
    </row>
    <row r="696" spans="4:11" x14ac:dyDescent="0.25">
      <c r="D696">
        <v>74</v>
      </c>
      <c r="E696" s="25">
        <f t="shared" si="86"/>
        <v>67.968420668549768</v>
      </c>
      <c r="F696">
        <f t="shared" si="82"/>
        <v>1.6713003430977285E-3</v>
      </c>
      <c r="G696" t="e">
        <f t="shared" si="83"/>
        <v>#N/A</v>
      </c>
      <c r="H696">
        <f t="shared" si="84"/>
        <v>0.96657399313804548</v>
      </c>
      <c r="I696" t="e">
        <f t="shared" si="85"/>
        <v>#N/A</v>
      </c>
      <c r="K696" s="44">
        <f ca="1">Weibull!D106</f>
        <v>31.289391018362824</v>
      </c>
    </row>
    <row r="697" spans="4:11" x14ac:dyDescent="0.25">
      <c r="D697">
        <v>75</v>
      </c>
      <c r="E697" s="25">
        <f t="shared" si="86"/>
        <v>68.896727708981004</v>
      </c>
      <c r="F697">
        <f t="shared" si="82"/>
        <v>1.5954991276493412E-3</v>
      </c>
      <c r="G697" t="e">
        <f t="shared" si="83"/>
        <v>#N/A</v>
      </c>
      <c r="H697">
        <f t="shared" si="84"/>
        <v>0.96809001744701317</v>
      </c>
      <c r="I697" t="e">
        <f t="shared" si="85"/>
        <v>#N/A</v>
      </c>
      <c r="K697" s="44">
        <f ca="1">Weibull!D107</f>
        <v>2.9373955959537783</v>
      </c>
    </row>
    <row r="698" spans="4:11" x14ac:dyDescent="0.25">
      <c r="D698">
        <v>76</v>
      </c>
      <c r="E698" s="25">
        <f t="shared" si="86"/>
        <v>69.825034749412239</v>
      </c>
      <c r="F698">
        <f t="shared" si="82"/>
        <v>1.5231358485881408E-3</v>
      </c>
      <c r="G698" t="e">
        <f t="shared" si="83"/>
        <v>#N/A</v>
      </c>
      <c r="H698">
        <f t="shared" si="84"/>
        <v>0.96953728302823716</v>
      </c>
      <c r="I698" t="e">
        <f t="shared" si="85"/>
        <v>#N/A</v>
      </c>
      <c r="K698" s="44">
        <f ca="1">Weibull!D108</f>
        <v>26.630224162411732</v>
      </c>
    </row>
    <row r="699" spans="4:11" x14ac:dyDescent="0.25">
      <c r="D699">
        <v>77</v>
      </c>
      <c r="E699" s="25">
        <f t="shared" si="86"/>
        <v>70.753341789843475</v>
      </c>
      <c r="F699">
        <f t="shared" si="82"/>
        <v>1.4540545795674001E-3</v>
      </c>
      <c r="G699" t="e">
        <f t="shared" si="83"/>
        <v>#N/A</v>
      </c>
      <c r="H699">
        <f t="shared" si="84"/>
        <v>0.97091890840865203</v>
      </c>
      <c r="I699" t="e">
        <f t="shared" si="85"/>
        <v>#N/A</v>
      </c>
      <c r="K699" s="44">
        <f ca="1">Weibull!D109</f>
        <v>17.648951082816694</v>
      </c>
    </row>
    <row r="700" spans="4:11" x14ac:dyDescent="0.25">
      <c r="D700">
        <v>78</v>
      </c>
      <c r="E700" s="25">
        <f t="shared" si="86"/>
        <v>71.68164883027471</v>
      </c>
      <c r="F700">
        <f t="shared" si="82"/>
        <v>1.3881064662227846E-3</v>
      </c>
      <c r="G700" t="e">
        <f t="shared" si="83"/>
        <v>#N/A</v>
      </c>
      <c r="H700">
        <f t="shared" si="84"/>
        <v>0.97223787067554435</v>
      </c>
      <c r="I700" t="e">
        <f t="shared" si="85"/>
        <v>#N/A</v>
      </c>
      <c r="K700" s="44">
        <f ca="1">Weibull!D110</f>
        <v>6.4976937929501144</v>
      </c>
    </row>
    <row r="701" spans="4:11" x14ac:dyDescent="0.25">
      <c r="D701">
        <v>79</v>
      </c>
      <c r="E701" s="25">
        <f t="shared" si="86"/>
        <v>72.609955870705946</v>
      </c>
      <c r="F701">
        <f t="shared" si="82"/>
        <v>1.3251494054251859E-3</v>
      </c>
      <c r="G701" t="e">
        <f t="shared" si="83"/>
        <v>#N/A</v>
      </c>
      <c r="H701">
        <f t="shared" si="84"/>
        <v>0.97349701189149629</v>
      </c>
      <c r="I701" t="e">
        <f t="shared" si="85"/>
        <v>#N/A</v>
      </c>
      <c r="K701" s="44">
        <f ca="1">Weibull!D111</f>
        <v>49.724992983458584</v>
      </c>
    </row>
    <row r="702" spans="4:11" x14ac:dyDescent="0.25">
      <c r="D702">
        <v>80</v>
      </c>
      <c r="E702" s="25">
        <f t="shared" si="86"/>
        <v>73.538262911137181</v>
      </c>
      <c r="F702">
        <f t="shared" si="82"/>
        <v>1.2650477390809076E-3</v>
      </c>
      <c r="G702" t="e">
        <f t="shared" si="83"/>
        <v>#N/A</v>
      </c>
      <c r="H702">
        <f t="shared" si="84"/>
        <v>0.97469904521838191</v>
      </c>
      <c r="I702" t="e">
        <f t="shared" si="85"/>
        <v>#N/A</v>
      </c>
      <c r="K702" s="44">
        <f ca="1">Weibull!D112</f>
        <v>23.219873756438005</v>
      </c>
    </row>
    <row r="703" spans="4:11" x14ac:dyDescent="0.25">
      <c r="D703">
        <v>81</v>
      </c>
      <c r="E703" s="25">
        <f t="shared" si="86"/>
        <v>74.466569951568417</v>
      </c>
      <c r="F703">
        <f t="shared" si="82"/>
        <v>1.2076719618194531E-3</v>
      </c>
      <c r="G703" t="e">
        <f t="shared" si="83"/>
        <v>#N/A</v>
      </c>
      <c r="H703">
        <f t="shared" si="84"/>
        <v>0.97584656076361098</v>
      </c>
      <c r="I703" t="e">
        <f t="shared" si="85"/>
        <v>#N/A</v>
      </c>
      <c r="K703" s="44">
        <f ca="1">Weibull!D113</f>
        <v>3.9652744568526952</v>
      </c>
    </row>
    <row r="704" spans="4:11" x14ac:dyDescent="0.25">
      <c r="D704">
        <v>82</v>
      </c>
      <c r="E704" s="25">
        <f t="shared" si="86"/>
        <v>75.394876991999652</v>
      </c>
      <c r="F704">
        <f t="shared" si="82"/>
        <v>1.1528984419390113E-3</v>
      </c>
      <c r="G704" t="e">
        <f t="shared" si="83"/>
        <v>#N/A</v>
      </c>
      <c r="H704">
        <f t="shared" si="84"/>
        <v>0.9769420311612198</v>
      </c>
      <c r="I704" t="e">
        <f t="shared" si="85"/>
        <v>#N/A</v>
      </c>
      <c r="K704" s="44">
        <f ca="1">Weibull!D114</f>
        <v>16.892304668137296</v>
      </c>
    </row>
    <row r="705" spans="4:11" x14ac:dyDescent="0.25">
      <c r="D705">
        <v>83</v>
      </c>
      <c r="E705" s="25">
        <f t="shared" si="86"/>
        <v>76.323184032430888</v>
      </c>
      <c r="F705">
        <f t="shared" si="82"/>
        <v>1.1006091550083629E-3</v>
      </c>
      <c r="G705" t="e">
        <f t="shared" si="83"/>
        <v>#N/A</v>
      </c>
      <c r="H705">
        <f t="shared" si="84"/>
        <v>0.97798781689983272</v>
      </c>
      <c r="I705" t="e">
        <f t="shared" si="85"/>
        <v>#N/A</v>
      </c>
      <c r="K705" s="44">
        <f ca="1">Weibull!D115</f>
        <v>13.568768962119343</v>
      </c>
    </row>
    <row r="706" spans="4:11" x14ac:dyDescent="0.25">
      <c r="D706">
        <v>84</v>
      </c>
      <c r="E706" s="25">
        <f t="shared" si="86"/>
        <v>77.251491072862123</v>
      </c>
      <c r="F706">
        <f t="shared" si="82"/>
        <v>1.0506914295511757E-3</v>
      </c>
      <c r="G706" t="e">
        <f t="shared" si="83"/>
        <v>#N/A</v>
      </c>
      <c r="H706">
        <f t="shared" si="84"/>
        <v>0.97898617140897648</v>
      </c>
      <c r="I706" t="e">
        <f t="shared" si="85"/>
        <v>#N/A</v>
      </c>
      <c r="K706" s="44">
        <f ca="1">Weibull!D116</f>
        <v>38.928767735589339</v>
      </c>
    </row>
    <row r="707" spans="4:11" x14ac:dyDescent="0.25">
      <c r="D707">
        <v>85</v>
      </c>
      <c r="E707" s="25">
        <f t="shared" si="86"/>
        <v>78.179798113293359</v>
      </c>
      <c r="F707">
        <f t="shared" si="82"/>
        <v>1.0030377042646935E-3</v>
      </c>
      <c r="G707" t="e">
        <f t="shared" si="83"/>
        <v>#N/A</v>
      </c>
      <c r="H707">
        <f t="shared" si="84"/>
        <v>0.97993924591470616</v>
      </c>
      <c r="I707" t="e">
        <f t="shared" si="85"/>
        <v>#N/A</v>
      </c>
      <c r="K707" s="44">
        <f ca="1">Weibull!D117</f>
        <v>1.8808220268483615</v>
      </c>
    </row>
    <row r="708" spans="4:11" x14ac:dyDescent="0.25">
      <c r="D708">
        <v>86</v>
      </c>
      <c r="E708" s="25">
        <f t="shared" si="86"/>
        <v>79.108105153724594</v>
      </c>
      <c r="F708">
        <f t="shared" si="82"/>
        <v>9.5754529624968567E-4</v>
      </c>
      <c r="G708" t="e">
        <f t="shared" si="83"/>
        <v>#N/A</v>
      </c>
      <c r="H708">
        <f t="shared" si="84"/>
        <v>0.98084909407500631</v>
      </c>
      <c r="I708" t="e">
        <f t="shared" si="85"/>
        <v>#N/A</v>
      </c>
      <c r="K708" s="44">
        <f ca="1">Weibull!D118</f>
        <v>6.165902282122242</v>
      </c>
    </row>
    <row r="709" spans="4:11" x14ac:dyDescent="0.25">
      <c r="D709">
        <v>87</v>
      </c>
      <c r="E709" s="25">
        <f t="shared" si="86"/>
        <v>80.03641219415583</v>
      </c>
      <c r="F709">
        <f t="shared" si="82"/>
        <v>9.1411617975224008E-4</v>
      </c>
      <c r="G709" t="e">
        <f t="shared" si="83"/>
        <v>#N/A</v>
      </c>
      <c r="H709">
        <f t="shared" si="84"/>
        <v>0.98171767640495522</v>
      </c>
      <c r="I709" t="e">
        <f t="shared" si="85"/>
        <v>#N/A</v>
      </c>
      <c r="K709" s="44">
        <f ca="1">Weibull!D119</f>
        <v>53.474905260546251</v>
      </c>
    </row>
    <row r="710" spans="4:11" x14ac:dyDescent="0.25">
      <c r="D710">
        <v>88</v>
      </c>
      <c r="E710" s="25">
        <f t="shared" si="86"/>
        <v>80.964719234587065</v>
      </c>
      <c r="F710">
        <f t="shared" si="82"/>
        <v>8.7265677494063919E-4</v>
      </c>
      <c r="G710" t="e">
        <f t="shared" si="83"/>
        <v>#N/A</v>
      </c>
      <c r="H710">
        <f t="shared" si="84"/>
        <v>0.98254686450118722</v>
      </c>
      <c r="I710" t="e">
        <f t="shared" si="85"/>
        <v>#N/A</v>
      </c>
      <c r="K710" s="44">
        <f ca="1">Weibull!D120</f>
        <v>45.518943627329264</v>
      </c>
    </row>
    <row r="711" spans="4:11" x14ac:dyDescent="0.25">
      <c r="D711">
        <v>89</v>
      </c>
      <c r="E711" s="25">
        <f t="shared" si="86"/>
        <v>81.8930262750183</v>
      </c>
      <c r="F711">
        <f t="shared" si="82"/>
        <v>8.3307774626218821E-4</v>
      </c>
      <c r="G711" t="e">
        <f t="shared" si="83"/>
        <v>#N/A</v>
      </c>
      <c r="H711">
        <f t="shared" si="84"/>
        <v>0.98333844507475621</v>
      </c>
      <c r="I711" t="e">
        <f t="shared" si="85"/>
        <v>#N/A</v>
      </c>
      <c r="K711" s="44">
        <f ca="1">Weibull!D121</f>
        <v>49.187643699418686</v>
      </c>
    </row>
    <row r="712" spans="4:11" x14ac:dyDescent="0.25">
      <c r="D712">
        <v>90</v>
      </c>
      <c r="E712" s="25">
        <f t="shared" si="86"/>
        <v>82.821333315449536</v>
      </c>
      <c r="F712">
        <f t="shared" si="82"/>
        <v>7.9529380994549216E-4</v>
      </c>
      <c r="G712" t="e">
        <f t="shared" si="83"/>
        <v>#N/A</v>
      </c>
      <c r="H712">
        <f t="shared" si="84"/>
        <v>0.98409412380109018</v>
      </c>
      <c r="I712" t="e">
        <f t="shared" si="85"/>
        <v>#N/A</v>
      </c>
      <c r="K712" s="44">
        <f ca="1">Weibull!D122</f>
        <v>2.7224479338571634</v>
      </c>
    </row>
    <row r="713" spans="4:11" x14ac:dyDescent="0.25">
      <c r="D713">
        <v>91</v>
      </c>
      <c r="E713" s="25">
        <f t="shared" si="86"/>
        <v>83.749640355880771</v>
      </c>
      <c r="F713">
        <f t="shared" si="82"/>
        <v>7.5922355023339818E-4</v>
      </c>
      <c r="G713" t="e">
        <f t="shared" si="83"/>
        <v>#N/A</v>
      </c>
      <c r="H713">
        <f t="shared" si="84"/>
        <v>0.98481552899533209</v>
      </c>
      <c r="I713" t="e">
        <f t="shared" si="85"/>
        <v>#N/A</v>
      </c>
      <c r="K713" s="44">
        <f ca="1">Weibull!D123</f>
        <v>53.091913892645678</v>
      </c>
    </row>
    <row r="714" spans="4:11" x14ac:dyDescent="0.25">
      <c r="D714">
        <v>92</v>
      </c>
      <c r="E714" s="25">
        <f t="shared" si="86"/>
        <v>84.677947396312007</v>
      </c>
      <c r="F714">
        <f t="shared" si="82"/>
        <v>7.2478924395062488E-4</v>
      </c>
      <c r="G714" t="e">
        <f t="shared" si="83"/>
        <v>#N/A</v>
      </c>
      <c r="H714">
        <f t="shared" si="84"/>
        <v>0.98550421512098751</v>
      </c>
      <c r="I714" t="e">
        <f t="shared" si="85"/>
        <v>#N/A</v>
      </c>
      <c r="K714" s="44">
        <f ca="1">Weibull!D124</f>
        <v>15.072257659853063</v>
      </c>
    </row>
    <row r="715" spans="4:11" x14ac:dyDescent="0.25">
      <c r="D715">
        <v>93</v>
      </c>
      <c r="E715" s="25">
        <f t="shared" si="86"/>
        <v>85.606254436743242</v>
      </c>
      <c r="F715">
        <f t="shared" si="82"/>
        <v>6.9191669302806321E-4</v>
      </c>
      <c r="G715" t="e">
        <f t="shared" si="83"/>
        <v>#N/A</v>
      </c>
      <c r="H715">
        <f t="shared" si="84"/>
        <v>0.98616166613943879</v>
      </c>
      <c r="I715" t="e">
        <f t="shared" si="85"/>
        <v>#N/A</v>
      </c>
      <c r="K715" s="44">
        <f ca="1">Weibull!D125</f>
        <v>2.5100955592235068</v>
      </c>
    </row>
    <row r="716" spans="4:11" x14ac:dyDescent="0.25">
      <c r="D716">
        <v>94</v>
      </c>
      <c r="E716" s="25">
        <f t="shared" si="86"/>
        <v>86.534561477174478</v>
      </c>
      <c r="F716">
        <f t="shared" si="82"/>
        <v>6.6053506462287548E-4</v>
      </c>
      <c r="G716" t="e">
        <f t="shared" si="83"/>
        <v>#N/A</v>
      </c>
      <c r="H716">
        <f t="shared" si="84"/>
        <v>0.98678929870754251</v>
      </c>
      <c r="I716" t="e">
        <f t="shared" si="85"/>
        <v>#N/A</v>
      </c>
      <c r="K716" s="44">
        <f ca="1">Weibull!D126</f>
        <v>27.523386487608754</v>
      </c>
    </row>
    <row r="717" spans="4:11" x14ac:dyDescent="0.25">
      <c r="D717">
        <v>95</v>
      </c>
      <c r="E717" s="25">
        <f t="shared" si="86"/>
        <v>87.462868517605713</v>
      </c>
      <c r="F717">
        <f t="shared" si="82"/>
        <v>6.3057673848988967E-4</v>
      </c>
      <c r="G717" t="e">
        <f t="shared" si="83"/>
        <v>#N/A</v>
      </c>
      <c r="H717">
        <f t="shared" si="84"/>
        <v>0.98738846523020218</v>
      </c>
      <c r="I717" t="e">
        <f t="shared" si="85"/>
        <v>#N/A</v>
      </c>
      <c r="K717" s="44">
        <f ca="1">Weibull!D127</f>
        <v>38.934494360801303</v>
      </c>
    </row>
    <row r="718" spans="4:11" x14ac:dyDescent="0.25">
      <c r="D718">
        <v>96</v>
      </c>
      <c r="E718" s="25">
        <f t="shared" si="86"/>
        <v>88.391175558036949</v>
      </c>
      <c r="F718">
        <f t="shared" si="82"/>
        <v>6.0197716127540792E-4</v>
      </c>
      <c r="G718" t="e">
        <f t="shared" si="83"/>
        <v>#N/A</v>
      </c>
      <c r="H718">
        <f t="shared" si="84"/>
        <v>0.98796045677449185</v>
      </c>
      <c r="I718" t="e">
        <f t="shared" si="85"/>
        <v>#N/A</v>
      </c>
      <c r="K718" s="44">
        <f ca="1">Weibull!D128</f>
        <v>15.192520692735592</v>
      </c>
    </row>
    <row r="719" spans="4:11" x14ac:dyDescent="0.25">
      <c r="D719">
        <v>97</v>
      </c>
      <c r="E719" s="25">
        <f t="shared" si="86"/>
        <v>89.319482598468184</v>
      </c>
      <c r="F719">
        <f t="shared" si="82"/>
        <v>5.7467470741946595E-4</v>
      </c>
      <c r="G719" t="e">
        <f t="shared" si="83"/>
        <v>#N/A</v>
      </c>
      <c r="H719">
        <f t="shared" si="84"/>
        <v>0.98850650585161071</v>
      </c>
      <c r="I719" t="e">
        <f t="shared" si="85"/>
        <v>#N/A</v>
      </c>
      <c r="K719" s="44">
        <f ca="1">Weibull!D129</f>
        <v>7.0271276614475484</v>
      </c>
    </row>
    <row r="720" spans="4:11" x14ac:dyDescent="0.25">
      <c r="D720">
        <v>98</v>
      </c>
      <c r="E720" s="25">
        <f t="shared" si="86"/>
        <v>90.24778963889942</v>
      </c>
      <c r="F720">
        <f t="shared" si="82"/>
        <v>5.4861054636681989E-4</v>
      </c>
      <c r="G720" t="e">
        <f t="shared" si="83"/>
        <v>#N/A</v>
      </c>
      <c r="H720">
        <f t="shared" si="84"/>
        <v>0.98902778907266364</v>
      </c>
      <c r="I720" t="e">
        <f t="shared" si="85"/>
        <v>#N/A</v>
      </c>
      <c r="K720" s="44">
        <f ca="1">Weibull!D130</f>
        <v>3.676809185627218</v>
      </c>
    </row>
    <row r="721" spans="1:16" x14ac:dyDescent="0.25">
      <c r="D721">
        <v>99</v>
      </c>
      <c r="E721" s="25">
        <f t="shared" si="86"/>
        <v>91.176096679330655</v>
      </c>
      <c r="F721">
        <f t="shared" si="82"/>
        <v>5.2372851580053E-4</v>
      </c>
      <c r="G721" t="e">
        <f t="shared" si="83"/>
        <v>#N/A</v>
      </c>
      <c r="H721">
        <f t="shared" si="84"/>
        <v>0.98952542968398938</v>
      </c>
      <c r="I721" t="e">
        <f t="shared" si="85"/>
        <v>#N/A</v>
      </c>
      <c r="K721" s="44">
        <f ca="1">Weibull!D131</f>
        <v>30.501098115513443</v>
      </c>
    </row>
    <row r="722" spans="1:16" x14ac:dyDescent="0.25">
      <c r="D722">
        <v>100</v>
      </c>
      <c r="E722" s="25">
        <f t="shared" si="86"/>
        <v>92.104403719761891</v>
      </c>
      <c r="F722">
        <f t="shared" si="82"/>
        <v>4.9997500062498818E-4</v>
      </c>
      <c r="G722" t="e">
        <f t="shared" si="83"/>
        <v>#N/A</v>
      </c>
      <c r="H722">
        <f t="shared" si="84"/>
        <v>0.99000049998750028</v>
      </c>
      <c r="I722" t="e">
        <f t="shared" si="85"/>
        <v>#N/A</v>
      </c>
      <c r="K722" s="44">
        <f ca="1">Weibull!D132</f>
        <v>5.9002594489735527</v>
      </c>
    </row>
    <row r="724" spans="1:16" s="6" customFormat="1" x14ac:dyDescent="0.25">
      <c r="A724" s="6" t="s">
        <v>240</v>
      </c>
      <c r="D724" s="6" t="s">
        <v>129</v>
      </c>
      <c r="E724" s="6" t="s">
        <v>130</v>
      </c>
      <c r="F724" s="6" t="s">
        <v>131</v>
      </c>
      <c r="G724" s="6" t="s">
        <v>132</v>
      </c>
      <c r="H724" s="6" t="s">
        <v>39</v>
      </c>
      <c r="I724" s="6" t="s">
        <v>259</v>
      </c>
      <c r="K724" s="6">
        <f>Normal!D751</f>
        <v>0</v>
      </c>
    </row>
    <row r="725" spans="1:16" x14ac:dyDescent="0.25">
      <c r="A725" t="s">
        <v>241</v>
      </c>
      <c r="B725" s="42">
        <f>Binomial!C5</f>
        <v>0.01</v>
      </c>
      <c r="C725" s="25">
        <f>B729</f>
        <v>0</v>
      </c>
      <c r="D725">
        <v>1</v>
      </c>
      <c r="E725" s="38">
        <f>INT(C725)</f>
        <v>0</v>
      </c>
      <c r="F725">
        <f>BINOMDIST(E725, $B$726,$B$725,FALSE)</f>
        <v>0.95099004990000002</v>
      </c>
      <c r="G725">
        <f>IF(OR($E725&gt;$B$728,$E725&lt;$B$727),NA(),$F725)</f>
        <v>0.95099004990000002</v>
      </c>
      <c r="H725">
        <f>BINOMDIST(E725,$B$726,$B$725,TRUE)</f>
        <v>0.95099004990000002</v>
      </c>
      <c r="I725">
        <f>IF(OR($E725&gt;$B$728,$E725&lt;$B$727),NA(),$H725)</f>
        <v>0.95099004990000002</v>
      </c>
      <c r="K725" s="51">
        <f ca="1">Binomial!D34</f>
        <v>0</v>
      </c>
      <c r="L725" t="s">
        <v>28</v>
      </c>
      <c r="M725" s="50">
        <f ca="1">MIN($K$725:$K$825)</f>
        <v>0</v>
      </c>
    </row>
    <row r="726" spans="1:16" x14ac:dyDescent="0.25">
      <c r="A726" t="s">
        <v>242</v>
      </c>
      <c r="B726" s="42">
        <f>Binomial!C6</f>
        <v>5</v>
      </c>
      <c r="C726" s="25">
        <f>($B$730-$B$729)/24+C725</f>
        <v>4.8434573877681235E-2</v>
      </c>
      <c r="D726">
        <v>2</v>
      </c>
      <c r="E726" s="38">
        <f t="shared" ref="E726:E749" si="87">INT(C726)</f>
        <v>0</v>
      </c>
      <c r="F726">
        <f t="shared" ref="F726:F749" si="88">BINOMDIST(E726, $B$726,$B$725,FALSE)</f>
        <v>0.95099004990000002</v>
      </c>
      <c r="G726">
        <f t="shared" ref="G726:G749" si="89">IF(OR($E726&gt;$B$728,$E726&lt;$B$727),NA(),$F726)</f>
        <v>0.95099004990000002</v>
      </c>
      <c r="H726">
        <f t="shared" ref="H726:H749" si="90">BINOMDIST(E726,$B$726,$B$725,TRUE)</f>
        <v>0.95099004990000002</v>
      </c>
      <c r="I726">
        <f t="shared" ref="I726:I749" si="91">IF(OR($E726&gt;$B$728,$E726&lt;$B$727),NA(),$H726)</f>
        <v>0.95099004990000002</v>
      </c>
      <c r="K726" s="51">
        <f ca="1">Binomial!D35</f>
        <v>0</v>
      </c>
      <c r="L726" t="s">
        <v>29</v>
      </c>
      <c r="M726" s="50">
        <f ca="1">MAX($K$725:$K$830)+1</f>
        <v>8.7107728387143766</v>
      </c>
    </row>
    <row r="727" spans="1:16" x14ac:dyDescent="0.25">
      <c r="A727" t="s">
        <v>26</v>
      </c>
      <c r="B727">
        <f>Binomial!D12</f>
        <v>0</v>
      </c>
      <c r="C727" s="25">
        <f t="shared" ref="C727:C749" si="92">($B$730-$B$729)/24+C726</f>
        <v>9.686914775536247E-2</v>
      </c>
      <c r="D727">
        <v>3</v>
      </c>
      <c r="E727" s="38">
        <f t="shared" si="87"/>
        <v>0</v>
      </c>
      <c r="F727">
        <f t="shared" si="88"/>
        <v>0.95099004990000002</v>
      </c>
      <c r="G727">
        <f t="shared" si="89"/>
        <v>0.95099004990000002</v>
      </c>
      <c r="H727">
        <f t="shared" si="90"/>
        <v>0.95099004990000002</v>
      </c>
      <c r="I727">
        <f t="shared" si="91"/>
        <v>0.95099004990000002</v>
      </c>
      <c r="K727" s="51">
        <f ca="1">Binomial!D36</f>
        <v>0</v>
      </c>
    </row>
    <row r="728" spans="1:16" x14ac:dyDescent="0.25">
      <c r="A728" t="s">
        <v>27</v>
      </c>
      <c r="B728">
        <f>Binomial!D13</f>
        <v>1</v>
      </c>
      <c r="C728" s="25">
        <f t="shared" si="92"/>
        <v>0.1453037216330437</v>
      </c>
      <c r="D728">
        <v>4</v>
      </c>
      <c r="E728" s="38">
        <f t="shared" si="87"/>
        <v>0</v>
      </c>
      <c r="F728">
        <f t="shared" si="88"/>
        <v>0.95099004990000002</v>
      </c>
      <c r="G728">
        <f t="shared" si="89"/>
        <v>0.95099004990000002</v>
      </c>
      <c r="H728">
        <f t="shared" si="90"/>
        <v>0.95099004990000002</v>
      </c>
      <c r="I728">
        <f t="shared" si="91"/>
        <v>0.95099004990000002</v>
      </c>
      <c r="K728" s="51">
        <f ca="1">Binomial!D37</f>
        <v>0</v>
      </c>
      <c r="M728" t="s">
        <v>53</v>
      </c>
      <c r="N728" t="s">
        <v>54</v>
      </c>
    </row>
    <row r="729" spans="1:16" x14ac:dyDescent="0.25">
      <c r="A729" t="s">
        <v>28</v>
      </c>
      <c r="B729" s="50">
        <f>MAX(0,B731-5*SQRT(B726*B725*(1-B725)))</f>
        <v>0</v>
      </c>
      <c r="C729" s="25">
        <f t="shared" si="92"/>
        <v>0.19373829551072494</v>
      </c>
      <c r="D729">
        <v>5</v>
      </c>
      <c r="E729" s="38">
        <f t="shared" si="87"/>
        <v>0</v>
      </c>
      <c r="F729">
        <f t="shared" si="88"/>
        <v>0.95099004990000002</v>
      </c>
      <c r="G729">
        <f t="shared" si="89"/>
        <v>0.95099004990000002</v>
      </c>
      <c r="H729">
        <f t="shared" si="90"/>
        <v>0.95099004990000002</v>
      </c>
      <c r="I729">
        <f t="shared" si="91"/>
        <v>0.95099004990000002</v>
      </c>
      <c r="K729" s="51">
        <f ca="1">Binomial!D38</f>
        <v>0</v>
      </c>
      <c r="L729">
        <v>1</v>
      </c>
      <c r="M729">
        <f ca="1">M725</f>
        <v>0</v>
      </c>
      <c r="N729">
        <f ca="1">O729</f>
        <v>102</v>
      </c>
      <c r="O729">
        <f t="shared" ref="O729:O737" ca="1" si="93">COUNTIF($K$725:$K$830,"&lt;"&amp;M730)</f>
        <v>102</v>
      </c>
      <c r="P729" s="38">
        <f ca="1">M725</f>
        <v>0</v>
      </c>
    </row>
    <row r="730" spans="1:16" x14ac:dyDescent="0.25">
      <c r="A730" t="s">
        <v>29</v>
      </c>
      <c r="B730" s="50">
        <f>MIN(B726,B731+5*SQRT(B731*(1-B725)))</f>
        <v>1.1624297730643496</v>
      </c>
      <c r="C730" s="25">
        <f t="shared" si="92"/>
        <v>0.24217286938840618</v>
      </c>
      <c r="D730">
        <v>6</v>
      </c>
      <c r="E730" s="38">
        <f t="shared" si="87"/>
        <v>0</v>
      </c>
      <c r="F730">
        <f t="shared" si="88"/>
        <v>0.95099004990000002</v>
      </c>
      <c r="G730">
        <f t="shared" si="89"/>
        <v>0.95099004990000002</v>
      </c>
      <c r="H730">
        <f t="shared" si="90"/>
        <v>0.95099004990000002</v>
      </c>
      <c r="I730">
        <f t="shared" si="91"/>
        <v>0.95099004990000002</v>
      </c>
      <c r="K730" s="51">
        <f ca="1">Binomial!D39</f>
        <v>0</v>
      </c>
      <c r="L730">
        <v>2</v>
      </c>
      <c r="M730" s="50">
        <f ca="1">M729+($M$726-$M$725)/9</f>
        <v>0.9678636487460418</v>
      </c>
      <c r="N730">
        <f ca="1">O730-O729</f>
        <v>2</v>
      </c>
      <c r="O730">
        <f t="shared" ca="1" si="93"/>
        <v>104</v>
      </c>
    </row>
    <row r="731" spans="1:16" x14ac:dyDescent="0.25">
      <c r="A731" t="s">
        <v>24</v>
      </c>
      <c r="B731" s="50">
        <f>B725*B726</f>
        <v>0.05</v>
      </c>
      <c r="C731" s="25">
        <f t="shared" si="92"/>
        <v>0.2906074432660874</v>
      </c>
      <c r="D731">
        <v>7</v>
      </c>
      <c r="E731" s="38">
        <f t="shared" si="87"/>
        <v>0</v>
      </c>
      <c r="F731">
        <f t="shared" si="88"/>
        <v>0.95099004990000002</v>
      </c>
      <c r="G731">
        <f t="shared" si="89"/>
        <v>0.95099004990000002</v>
      </c>
      <c r="H731">
        <f t="shared" si="90"/>
        <v>0.95099004990000002</v>
      </c>
      <c r="I731">
        <f t="shared" si="91"/>
        <v>0.95099004990000002</v>
      </c>
      <c r="K731" s="51">
        <f ca="1">Binomial!D40</f>
        <v>0</v>
      </c>
      <c r="L731">
        <v>3</v>
      </c>
      <c r="M731" s="50">
        <f t="shared" ref="M731:M738" ca="1" si="94">M730+($M$726-$M$725)/9</f>
        <v>1.9357272974920836</v>
      </c>
      <c r="N731">
        <f t="shared" ref="N731:N737" ca="1" si="95">O731-O730</f>
        <v>0</v>
      </c>
      <c r="O731">
        <f t="shared" ca="1" si="93"/>
        <v>104</v>
      </c>
    </row>
    <row r="732" spans="1:16" x14ac:dyDescent="0.25">
      <c r="B732" s="50"/>
      <c r="C732" s="25">
        <f t="shared" si="92"/>
        <v>0.33904201714376864</v>
      </c>
      <c r="D732">
        <v>8</v>
      </c>
      <c r="E732" s="38">
        <f t="shared" si="87"/>
        <v>0</v>
      </c>
      <c r="F732">
        <f t="shared" si="88"/>
        <v>0.95099004990000002</v>
      </c>
      <c r="G732">
        <f t="shared" si="89"/>
        <v>0.95099004990000002</v>
      </c>
      <c r="H732">
        <f t="shared" si="90"/>
        <v>0.95099004990000002</v>
      </c>
      <c r="I732">
        <f t="shared" si="91"/>
        <v>0.95099004990000002</v>
      </c>
      <c r="K732" s="51">
        <f ca="1">Binomial!D41</f>
        <v>0</v>
      </c>
      <c r="L732">
        <v>4</v>
      </c>
      <c r="M732" s="50">
        <f t="shared" ca="1" si="94"/>
        <v>2.9035909462381255</v>
      </c>
      <c r="N732">
        <f t="shared" ca="1" si="95"/>
        <v>0</v>
      </c>
      <c r="O732">
        <f t="shared" ca="1" si="93"/>
        <v>104</v>
      </c>
    </row>
    <row r="733" spans="1:16" x14ac:dyDescent="0.25">
      <c r="B733" s="50"/>
      <c r="C733" s="25">
        <f t="shared" si="92"/>
        <v>0.38747659102144988</v>
      </c>
      <c r="D733">
        <v>9</v>
      </c>
      <c r="E733" s="38">
        <f t="shared" si="87"/>
        <v>0</v>
      </c>
      <c r="F733">
        <f t="shared" si="88"/>
        <v>0.95099004990000002</v>
      </c>
      <c r="G733">
        <f t="shared" si="89"/>
        <v>0.95099004990000002</v>
      </c>
      <c r="H733">
        <f t="shared" si="90"/>
        <v>0.95099004990000002</v>
      </c>
      <c r="I733">
        <f t="shared" si="91"/>
        <v>0.95099004990000002</v>
      </c>
      <c r="K733" s="51">
        <f ca="1">Binomial!D42</f>
        <v>0</v>
      </c>
      <c r="L733">
        <v>5</v>
      </c>
      <c r="M733" s="50">
        <f t="shared" ca="1" si="94"/>
        <v>3.8714545949841672</v>
      </c>
      <c r="N733">
        <f t="shared" ca="1" si="95"/>
        <v>0</v>
      </c>
      <c r="O733">
        <f t="shared" ca="1" si="93"/>
        <v>104</v>
      </c>
      <c r="P733" s="38">
        <f ca="1">INT(M732+0.5)</f>
        <v>3</v>
      </c>
    </row>
    <row r="734" spans="1:16" x14ac:dyDescent="0.25">
      <c r="B734" s="42"/>
      <c r="C734" s="25">
        <f t="shared" si="92"/>
        <v>0.43591116489913112</v>
      </c>
      <c r="D734">
        <v>10</v>
      </c>
      <c r="E734" s="38">
        <f t="shared" si="87"/>
        <v>0</v>
      </c>
      <c r="F734">
        <f t="shared" si="88"/>
        <v>0.95099004990000002</v>
      </c>
      <c r="G734">
        <f t="shared" si="89"/>
        <v>0.95099004990000002</v>
      </c>
      <c r="H734">
        <f t="shared" si="90"/>
        <v>0.95099004990000002</v>
      </c>
      <c r="I734">
        <f t="shared" si="91"/>
        <v>0.95099004990000002</v>
      </c>
      <c r="K734" s="51">
        <f ca="1">Binomial!D43</f>
        <v>0</v>
      </c>
      <c r="L734">
        <v>6</v>
      </c>
      <c r="M734" s="50">
        <f t="shared" ca="1" si="94"/>
        <v>4.8393182437302089</v>
      </c>
      <c r="N734">
        <f t="shared" ca="1" si="95"/>
        <v>0</v>
      </c>
      <c r="O734">
        <f t="shared" ca="1" si="93"/>
        <v>104</v>
      </c>
    </row>
    <row r="735" spans="1:16" x14ac:dyDescent="0.25">
      <c r="C735" s="25">
        <f t="shared" si="92"/>
        <v>0.48434573877681236</v>
      </c>
      <c r="D735">
        <v>11</v>
      </c>
      <c r="E735" s="38">
        <f t="shared" si="87"/>
        <v>0</v>
      </c>
      <c r="F735">
        <f t="shared" si="88"/>
        <v>0.95099004990000002</v>
      </c>
      <c r="G735">
        <f t="shared" si="89"/>
        <v>0.95099004990000002</v>
      </c>
      <c r="H735">
        <f t="shared" si="90"/>
        <v>0.95099004990000002</v>
      </c>
      <c r="I735">
        <f t="shared" si="91"/>
        <v>0.95099004990000002</v>
      </c>
      <c r="K735" s="51">
        <f ca="1">Binomial!D44</f>
        <v>0</v>
      </c>
      <c r="L735">
        <v>7</v>
      </c>
      <c r="M735" s="50">
        <f t="shared" ca="1" si="94"/>
        <v>5.8071818924762511</v>
      </c>
      <c r="N735">
        <f t="shared" ca="1" si="95"/>
        <v>0</v>
      </c>
      <c r="O735">
        <f t="shared" ca="1" si="93"/>
        <v>104</v>
      </c>
    </row>
    <row r="736" spans="1:16" x14ac:dyDescent="0.25">
      <c r="C736" s="25">
        <f t="shared" si="92"/>
        <v>0.53278031265449355</v>
      </c>
      <c r="D736">
        <v>12</v>
      </c>
      <c r="E736" s="38">
        <f t="shared" si="87"/>
        <v>0</v>
      </c>
      <c r="F736">
        <f t="shared" si="88"/>
        <v>0.95099004990000002</v>
      </c>
      <c r="G736">
        <f t="shared" si="89"/>
        <v>0.95099004990000002</v>
      </c>
      <c r="H736">
        <f t="shared" si="90"/>
        <v>0.95099004990000002</v>
      </c>
      <c r="I736">
        <f t="shared" si="91"/>
        <v>0.95099004990000002</v>
      </c>
      <c r="K736" s="51">
        <f ca="1">Binomial!D45</f>
        <v>0</v>
      </c>
      <c r="L736">
        <v>8</v>
      </c>
      <c r="M736" s="50">
        <f t="shared" ca="1" si="94"/>
        <v>6.7750455412222932</v>
      </c>
      <c r="N736">
        <f t="shared" ca="1" si="95"/>
        <v>1</v>
      </c>
      <c r="O736">
        <f t="shared" ca="1" si="93"/>
        <v>105</v>
      </c>
    </row>
    <row r="737" spans="3:16" x14ac:dyDescent="0.25">
      <c r="C737" s="25">
        <f t="shared" si="92"/>
        <v>0.58121488653217479</v>
      </c>
      <c r="D737">
        <v>13</v>
      </c>
      <c r="E737" s="38">
        <f t="shared" si="87"/>
        <v>0</v>
      </c>
      <c r="F737">
        <f t="shared" si="88"/>
        <v>0.95099004990000002</v>
      </c>
      <c r="G737">
        <f t="shared" si="89"/>
        <v>0.95099004990000002</v>
      </c>
      <c r="H737">
        <f t="shared" si="90"/>
        <v>0.95099004990000002</v>
      </c>
      <c r="I737">
        <f t="shared" si="91"/>
        <v>0.95099004990000002</v>
      </c>
      <c r="K737" s="51">
        <f ca="1">Binomial!D46</f>
        <v>0</v>
      </c>
      <c r="L737">
        <v>9</v>
      </c>
      <c r="M737" s="50">
        <f t="shared" ca="1" si="94"/>
        <v>7.7429091899683353</v>
      </c>
      <c r="N737">
        <f t="shared" ca="1" si="95"/>
        <v>0</v>
      </c>
      <c r="O737">
        <f t="shared" ca="1" si="93"/>
        <v>105</v>
      </c>
      <c r="P737" s="38">
        <f ca="1">M726</f>
        <v>8.7107728387143766</v>
      </c>
    </row>
    <row r="738" spans="3:16" x14ac:dyDescent="0.25">
      <c r="C738" s="25">
        <f t="shared" si="92"/>
        <v>0.62964946040985603</v>
      </c>
      <c r="D738">
        <v>14</v>
      </c>
      <c r="E738" s="38">
        <f t="shared" si="87"/>
        <v>0</v>
      </c>
      <c r="F738">
        <f t="shared" si="88"/>
        <v>0.95099004990000002</v>
      </c>
      <c r="G738">
        <f t="shared" si="89"/>
        <v>0.95099004990000002</v>
      </c>
      <c r="H738">
        <f t="shared" si="90"/>
        <v>0.95099004990000002</v>
      </c>
      <c r="I738">
        <f t="shared" si="91"/>
        <v>0.95099004990000002</v>
      </c>
      <c r="K738" s="51">
        <f ca="1">Binomial!D47</f>
        <v>0</v>
      </c>
      <c r="L738">
        <v>10</v>
      </c>
      <c r="M738" s="50">
        <f t="shared" ca="1" si="94"/>
        <v>8.7107728387143766</v>
      </c>
    </row>
    <row r="739" spans="3:16" x14ac:dyDescent="0.25">
      <c r="C739" s="25">
        <f t="shared" si="92"/>
        <v>0.67808403428753727</v>
      </c>
      <c r="D739">
        <v>15</v>
      </c>
      <c r="E739" s="38">
        <f t="shared" si="87"/>
        <v>0</v>
      </c>
      <c r="F739">
        <f t="shared" si="88"/>
        <v>0.95099004990000002</v>
      </c>
      <c r="G739">
        <f t="shared" si="89"/>
        <v>0.95099004990000002</v>
      </c>
      <c r="H739">
        <f t="shared" si="90"/>
        <v>0.95099004990000002</v>
      </c>
      <c r="I739">
        <f t="shared" si="91"/>
        <v>0.95099004990000002</v>
      </c>
      <c r="K739" s="51">
        <f ca="1">Binomial!D48</f>
        <v>0</v>
      </c>
    </row>
    <row r="740" spans="3:16" x14ac:dyDescent="0.25">
      <c r="C740" s="25">
        <f t="shared" si="92"/>
        <v>0.72651860816521852</v>
      </c>
      <c r="D740">
        <v>16</v>
      </c>
      <c r="E740" s="38">
        <f t="shared" si="87"/>
        <v>0</v>
      </c>
      <c r="F740">
        <f t="shared" si="88"/>
        <v>0.95099004990000002</v>
      </c>
      <c r="G740">
        <f t="shared" si="89"/>
        <v>0.95099004990000002</v>
      </c>
      <c r="H740">
        <f t="shared" si="90"/>
        <v>0.95099004990000002</v>
      </c>
      <c r="I740">
        <f t="shared" si="91"/>
        <v>0.95099004990000002</v>
      </c>
      <c r="K740" s="51">
        <f ca="1">Binomial!D49</f>
        <v>0</v>
      </c>
      <c r="N740">
        <f ca="1">SUM(N729:N738)</f>
        <v>105</v>
      </c>
      <c r="O740">
        <f ca="1">SUM(O729:O738)</f>
        <v>936</v>
      </c>
    </row>
    <row r="741" spans="3:16" x14ac:dyDescent="0.25">
      <c r="C741" s="25">
        <f t="shared" si="92"/>
        <v>0.77495318204289976</v>
      </c>
      <c r="D741">
        <v>17</v>
      </c>
      <c r="E741" s="38">
        <f t="shared" si="87"/>
        <v>0</v>
      </c>
      <c r="F741">
        <f t="shared" si="88"/>
        <v>0.95099004990000002</v>
      </c>
      <c r="G741">
        <f t="shared" si="89"/>
        <v>0.95099004990000002</v>
      </c>
      <c r="H741">
        <f t="shared" si="90"/>
        <v>0.95099004990000002</v>
      </c>
      <c r="I741">
        <f t="shared" si="91"/>
        <v>0.95099004990000002</v>
      </c>
      <c r="K741" s="51">
        <f ca="1">Binomial!D50</f>
        <v>0</v>
      </c>
    </row>
    <row r="742" spans="3:16" x14ac:dyDescent="0.25">
      <c r="C742" s="25">
        <f t="shared" si="92"/>
        <v>0.823387755920581</v>
      </c>
      <c r="D742">
        <v>18</v>
      </c>
      <c r="E742" s="38">
        <f t="shared" si="87"/>
        <v>0</v>
      </c>
      <c r="F742">
        <f t="shared" si="88"/>
        <v>0.95099004990000002</v>
      </c>
      <c r="G742">
        <f t="shared" si="89"/>
        <v>0.95099004990000002</v>
      </c>
      <c r="H742">
        <f t="shared" si="90"/>
        <v>0.95099004990000002</v>
      </c>
      <c r="I742">
        <f t="shared" si="91"/>
        <v>0.95099004990000002</v>
      </c>
      <c r="K742" s="51">
        <f ca="1">Binomial!D51</f>
        <v>0</v>
      </c>
    </row>
    <row r="743" spans="3:16" x14ac:dyDescent="0.25">
      <c r="C743" s="25">
        <f t="shared" si="92"/>
        <v>0.87182232979826224</v>
      </c>
      <c r="D743">
        <v>19</v>
      </c>
      <c r="E743" s="38">
        <f t="shared" si="87"/>
        <v>0</v>
      </c>
      <c r="F743">
        <f t="shared" si="88"/>
        <v>0.95099004990000002</v>
      </c>
      <c r="G743">
        <f t="shared" si="89"/>
        <v>0.95099004990000002</v>
      </c>
      <c r="H743">
        <f t="shared" si="90"/>
        <v>0.95099004990000002</v>
      </c>
      <c r="I743">
        <f t="shared" si="91"/>
        <v>0.95099004990000002</v>
      </c>
      <c r="K743" s="51">
        <f ca="1">Binomial!D52</f>
        <v>0</v>
      </c>
    </row>
    <row r="744" spans="3:16" x14ac:dyDescent="0.25">
      <c r="C744" s="25">
        <f t="shared" si="92"/>
        <v>0.92025690367594348</v>
      </c>
      <c r="D744">
        <v>20</v>
      </c>
      <c r="E744" s="38">
        <f t="shared" si="87"/>
        <v>0</v>
      </c>
      <c r="F744">
        <f t="shared" si="88"/>
        <v>0.95099004990000002</v>
      </c>
      <c r="G744">
        <f t="shared" si="89"/>
        <v>0.95099004990000002</v>
      </c>
      <c r="H744">
        <f t="shared" si="90"/>
        <v>0.95099004990000002</v>
      </c>
      <c r="I744">
        <f t="shared" si="91"/>
        <v>0.95099004990000002</v>
      </c>
      <c r="K744" s="51">
        <f ca="1">Binomial!D53</f>
        <v>0</v>
      </c>
    </row>
    <row r="745" spans="3:16" x14ac:dyDescent="0.25">
      <c r="C745" s="25">
        <f t="shared" si="92"/>
        <v>0.96869147755362472</v>
      </c>
      <c r="D745">
        <v>21</v>
      </c>
      <c r="E745" s="38">
        <f t="shared" si="87"/>
        <v>0</v>
      </c>
      <c r="F745">
        <f t="shared" si="88"/>
        <v>0.95099004990000002</v>
      </c>
      <c r="G745">
        <f t="shared" si="89"/>
        <v>0.95099004990000002</v>
      </c>
      <c r="H745">
        <f t="shared" si="90"/>
        <v>0.95099004990000002</v>
      </c>
      <c r="I745">
        <f t="shared" si="91"/>
        <v>0.95099004990000002</v>
      </c>
      <c r="K745" s="51">
        <f ca="1">Binomial!D54</f>
        <v>0</v>
      </c>
    </row>
    <row r="746" spans="3:16" x14ac:dyDescent="0.25">
      <c r="C746" s="25">
        <f t="shared" si="92"/>
        <v>1.0171260514313059</v>
      </c>
      <c r="D746">
        <v>22</v>
      </c>
      <c r="E746" s="38">
        <f t="shared" si="87"/>
        <v>1</v>
      </c>
      <c r="F746">
        <f t="shared" si="88"/>
        <v>4.8029800499999997E-2</v>
      </c>
      <c r="G746">
        <f t="shared" si="89"/>
        <v>4.8029800499999997E-2</v>
      </c>
      <c r="H746">
        <f t="shared" si="90"/>
        <v>0.99901985040000008</v>
      </c>
      <c r="I746">
        <f t="shared" si="91"/>
        <v>0.99901985040000008</v>
      </c>
      <c r="K746" s="51">
        <f ca="1">Binomial!D55</f>
        <v>0</v>
      </c>
    </row>
    <row r="747" spans="3:16" x14ac:dyDescent="0.25">
      <c r="C747" s="25">
        <f t="shared" si="92"/>
        <v>1.0655606253089871</v>
      </c>
      <c r="D747">
        <v>23</v>
      </c>
      <c r="E747" s="38">
        <f t="shared" si="87"/>
        <v>1</v>
      </c>
      <c r="F747">
        <f t="shared" si="88"/>
        <v>4.8029800499999997E-2</v>
      </c>
      <c r="G747">
        <f t="shared" si="89"/>
        <v>4.8029800499999997E-2</v>
      </c>
      <c r="H747">
        <f t="shared" si="90"/>
        <v>0.99901985040000008</v>
      </c>
      <c r="I747">
        <f t="shared" si="91"/>
        <v>0.99901985040000008</v>
      </c>
      <c r="K747" s="51">
        <f ca="1">Binomial!D56</f>
        <v>0</v>
      </c>
    </row>
    <row r="748" spans="3:16" x14ac:dyDescent="0.25">
      <c r="C748" s="25">
        <f t="shared" si="92"/>
        <v>1.1139951991866683</v>
      </c>
      <c r="D748">
        <v>24</v>
      </c>
      <c r="E748" s="38">
        <f t="shared" si="87"/>
        <v>1</v>
      </c>
      <c r="F748">
        <f t="shared" si="88"/>
        <v>4.8029800499999997E-2</v>
      </c>
      <c r="G748">
        <f t="shared" si="89"/>
        <v>4.8029800499999997E-2</v>
      </c>
      <c r="H748">
        <f t="shared" si="90"/>
        <v>0.99901985040000008</v>
      </c>
      <c r="I748">
        <f t="shared" si="91"/>
        <v>0.99901985040000008</v>
      </c>
      <c r="K748" s="51">
        <f ca="1">Binomial!D57</f>
        <v>0</v>
      </c>
    </row>
    <row r="749" spans="3:16" x14ac:dyDescent="0.25">
      <c r="C749" s="25">
        <f t="shared" si="92"/>
        <v>1.1624297730643496</v>
      </c>
      <c r="D749">
        <v>25</v>
      </c>
      <c r="E749" s="38">
        <f t="shared" si="87"/>
        <v>1</v>
      </c>
      <c r="F749">
        <f t="shared" si="88"/>
        <v>4.8029800499999997E-2</v>
      </c>
      <c r="G749">
        <f t="shared" si="89"/>
        <v>4.8029800499999997E-2</v>
      </c>
      <c r="H749">
        <f t="shared" si="90"/>
        <v>0.99901985040000008</v>
      </c>
      <c r="I749">
        <f t="shared" si="91"/>
        <v>0.99901985040000008</v>
      </c>
      <c r="K749" s="51">
        <f ca="1">Binomial!D58</f>
        <v>0</v>
      </c>
    </row>
    <row r="750" spans="3:16" x14ac:dyDescent="0.25">
      <c r="K750" s="51">
        <f ca="1">Binomial!D59</f>
        <v>0</v>
      </c>
    </row>
    <row r="751" spans="3:16" x14ac:dyDescent="0.25">
      <c r="K751" s="51">
        <f ca="1">Binomial!D60</f>
        <v>0</v>
      </c>
    </row>
    <row r="752" spans="3:16" x14ac:dyDescent="0.25">
      <c r="K752" s="51">
        <f ca="1">Binomial!D61</f>
        <v>0</v>
      </c>
    </row>
    <row r="753" spans="11:11" x14ac:dyDescent="0.25">
      <c r="K753" s="51">
        <f ca="1">Binomial!D62</f>
        <v>0</v>
      </c>
    </row>
    <row r="754" spans="11:11" x14ac:dyDescent="0.25">
      <c r="K754" s="51">
        <f ca="1">Binomial!D63</f>
        <v>0</v>
      </c>
    </row>
    <row r="755" spans="11:11" x14ac:dyDescent="0.25">
      <c r="K755" s="51">
        <f ca="1">Binomial!D64</f>
        <v>0</v>
      </c>
    </row>
    <row r="756" spans="11:11" x14ac:dyDescent="0.25">
      <c r="K756" s="51">
        <f ca="1">Binomial!D65</f>
        <v>0</v>
      </c>
    </row>
    <row r="757" spans="11:11" x14ac:dyDescent="0.25">
      <c r="K757" s="51">
        <f ca="1">Binomial!D66</f>
        <v>0</v>
      </c>
    </row>
    <row r="758" spans="11:11" x14ac:dyDescent="0.25">
      <c r="K758" s="51">
        <f ca="1">Binomial!D67</f>
        <v>0</v>
      </c>
    </row>
    <row r="759" spans="11:11" x14ac:dyDescent="0.25">
      <c r="K759" s="51">
        <f ca="1">Binomial!D68</f>
        <v>0</v>
      </c>
    </row>
    <row r="760" spans="11:11" x14ac:dyDescent="0.25">
      <c r="K760" s="51">
        <f ca="1">Binomial!D69</f>
        <v>0</v>
      </c>
    </row>
    <row r="761" spans="11:11" x14ac:dyDescent="0.25">
      <c r="K761" s="51">
        <f ca="1">Binomial!D70</f>
        <v>0</v>
      </c>
    </row>
    <row r="762" spans="11:11" x14ac:dyDescent="0.25">
      <c r="K762" s="51">
        <f ca="1">Binomial!D71</f>
        <v>0</v>
      </c>
    </row>
    <row r="763" spans="11:11" x14ac:dyDescent="0.25">
      <c r="K763" s="51">
        <f ca="1">Binomial!D72</f>
        <v>0</v>
      </c>
    </row>
    <row r="764" spans="11:11" x14ac:dyDescent="0.25">
      <c r="K764" s="51">
        <f ca="1">Binomial!D73</f>
        <v>0</v>
      </c>
    </row>
    <row r="765" spans="11:11" x14ac:dyDescent="0.25">
      <c r="K765" s="51">
        <f ca="1">Binomial!D74</f>
        <v>0</v>
      </c>
    </row>
    <row r="766" spans="11:11" x14ac:dyDescent="0.25">
      <c r="K766" s="51">
        <f ca="1">Binomial!D75</f>
        <v>0</v>
      </c>
    </row>
    <row r="767" spans="11:11" x14ac:dyDescent="0.25">
      <c r="K767" s="51">
        <f ca="1">Binomial!D76</f>
        <v>0</v>
      </c>
    </row>
    <row r="768" spans="11:11" x14ac:dyDescent="0.25">
      <c r="K768" s="51">
        <f ca="1">Binomial!D77</f>
        <v>0</v>
      </c>
    </row>
    <row r="769" spans="11:11" x14ac:dyDescent="0.25">
      <c r="K769" s="51">
        <f ca="1">Binomial!D78</f>
        <v>0</v>
      </c>
    </row>
    <row r="770" spans="11:11" x14ac:dyDescent="0.25">
      <c r="K770" s="51">
        <f ca="1">Binomial!D79</f>
        <v>0</v>
      </c>
    </row>
    <row r="771" spans="11:11" x14ac:dyDescent="0.25">
      <c r="K771" s="51">
        <f ca="1">Binomial!D80</f>
        <v>0</v>
      </c>
    </row>
    <row r="772" spans="11:11" x14ac:dyDescent="0.25">
      <c r="K772" s="51">
        <f ca="1">Binomial!D81</f>
        <v>0</v>
      </c>
    </row>
    <row r="773" spans="11:11" x14ac:dyDescent="0.25">
      <c r="K773" s="51">
        <f ca="1">Binomial!D82</f>
        <v>0</v>
      </c>
    </row>
    <row r="774" spans="11:11" x14ac:dyDescent="0.25">
      <c r="K774" s="51">
        <f ca="1">Binomial!D83</f>
        <v>0</v>
      </c>
    </row>
    <row r="775" spans="11:11" x14ac:dyDescent="0.25">
      <c r="K775" s="51">
        <f ca="1">Binomial!D84</f>
        <v>0</v>
      </c>
    </row>
    <row r="776" spans="11:11" x14ac:dyDescent="0.25">
      <c r="K776" s="51">
        <f ca="1">Binomial!D85</f>
        <v>0</v>
      </c>
    </row>
    <row r="777" spans="11:11" x14ac:dyDescent="0.25">
      <c r="K777" s="51">
        <f ca="1">Binomial!D86</f>
        <v>0</v>
      </c>
    </row>
    <row r="778" spans="11:11" x14ac:dyDescent="0.25">
      <c r="K778" s="51">
        <f ca="1">Binomial!D87</f>
        <v>0</v>
      </c>
    </row>
    <row r="779" spans="11:11" x14ac:dyDescent="0.25">
      <c r="K779" s="51">
        <f ca="1">Binomial!D88</f>
        <v>0</v>
      </c>
    </row>
    <row r="780" spans="11:11" x14ac:dyDescent="0.25">
      <c r="K780" s="51">
        <f ca="1">Binomial!D89</f>
        <v>0</v>
      </c>
    </row>
    <row r="781" spans="11:11" x14ac:dyDescent="0.25">
      <c r="K781" s="51">
        <f ca="1">Binomial!D90</f>
        <v>0</v>
      </c>
    </row>
    <row r="782" spans="11:11" x14ac:dyDescent="0.25">
      <c r="K782" s="51">
        <f ca="1">Binomial!D91</f>
        <v>0</v>
      </c>
    </row>
    <row r="783" spans="11:11" x14ac:dyDescent="0.25">
      <c r="K783" s="51">
        <f ca="1">Binomial!D92</f>
        <v>0</v>
      </c>
    </row>
    <row r="784" spans="11:11" x14ac:dyDescent="0.25">
      <c r="K784" s="51">
        <f ca="1">Binomial!D93</f>
        <v>0</v>
      </c>
    </row>
    <row r="785" spans="11:11" x14ac:dyDescent="0.25">
      <c r="K785" s="51">
        <f ca="1">Binomial!D94</f>
        <v>0</v>
      </c>
    </row>
    <row r="786" spans="11:11" x14ac:dyDescent="0.25">
      <c r="K786" s="51">
        <f ca="1">Binomial!D95</f>
        <v>0</v>
      </c>
    </row>
    <row r="787" spans="11:11" x14ac:dyDescent="0.25">
      <c r="K787" s="51">
        <f ca="1">Binomial!D96</f>
        <v>0</v>
      </c>
    </row>
    <row r="788" spans="11:11" x14ac:dyDescent="0.25">
      <c r="K788" s="51">
        <f ca="1">Binomial!D97</f>
        <v>0</v>
      </c>
    </row>
    <row r="789" spans="11:11" x14ac:dyDescent="0.25">
      <c r="K789" s="51">
        <f ca="1">Binomial!D98</f>
        <v>0</v>
      </c>
    </row>
    <row r="790" spans="11:11" x14ac:dyDescent="0.25">
      <c r="K790" s="51">
        <f ca="1">Binomial!D99</f>
        <v>0</v>
      </c>
    </row>
    <row r="791" spans="11:11" x14ac:dyDescent="0.25">
      <c r="K791" s="51">
        <f ca="1">Binomial!D100</f>
        <v>0</v>
      </c>
    </row>
    <row r="792" spans="11:11" x14ac:dyDescent="0.25">
      <c r="K792" s="51">
        <f ca="1">Binomial!D101</f>
        <v>0</v>
      </c>
    </row>
    <row r="793" spans="11:11" x14ac:dyDescent="0.25">
      <c r="K793" s="51">
        <f ca="1">Binomial!D102</f>
        <v>0</v>
      </c>
    </row>
    <row r="794" spans="11:11" x14ac:dyDescent="0.25">
      <c r="K794" s="51">
        <f ca="1">Binomial!D103</f>
        <v>0</v>
      </c>
    </row>
    <row r="795" spans="11:11" x14ac:dyDescent="0.25">
      <c r="K795" s="51">
        <f ca="1">Binomial!D104</f>
        <v>0</v>
      </c>
    </row>
    <row r="796" spans="11:11" x14ac:dyDescent="0.25">
      <c r="K796" s="51">
        <f ca="1">Binomial!D105</f>
        <v>0</v>
      </c>
    </row>
    <row r="797" spans="11:11" x14ac:dyDescent="0.25">
      <c r="K797" s="51">
        <f ca="1">Binomial!D106</f>
        <v>0</v>
      </c>
    </row>
    <row r="798" spans="11:11" x14ac:dyDescent="0.25">
      <c r="K798" s="51">
        <f ca="1">Binomial!D107</f>
        <v>0</v>
      </c>
    </row>
    <row r="799" spans="11:11" x14ac:dyDescent="0.25">
      <c r="K799" s="51">
        <f ca="1">Binomial!D108</f>
        <v>0</v>
      </c>
    </row>
    <row r="800" spans="11:11" x14ac:dyDescent="0.25">
      <c r="K800" s="51">
        <f ca="1">Binomial!D109</f>
        <v>0</v>
      </c>
    </row>
    <row r="801" spans="11:11" x14ac:dyDescent="0.25">
      <c r="K801" s="51">
        <f ca="1">Binomial!D110</f>
        <v>0</v>
      </c>
    </row>
    <row r="802" spans="11:11" x14ac:dyDescent="0.25">
      <c r="K802" s="51">
        <f ca="1">Binomial!D111</f>
        <v>0</v>
      </c>
    </row>
    <row r="803" spans="11:11" x14ac:dyDescent="0.25">
      <c r="K803" s="51">
        <f ca="1">Binomial!D112</f>
        <v>0</v>
      </c>
    </row>
    <row r="804" spans="11:11" x14ac:dyDescent="0.25">
      <c r="K804" s="51">
        <f ca="1">Binomial!D113</f>
        <v>0</v>
      </c>
    </row>
    <row r="805" spans="11:11" x14ac:dyDescent="0.25">
      <c r="K805" s="51">
        <f ca="1">Binomial!D114</f>
        <v>0</v>
      </c>
    </row>
    <row r="806" spans="11:11" x14ac:dyDescent="0.25">
      <c r="K806" s="51">
        <f ca="1">Binomial!D115</f>
        <v>0</v>
      </c>
    </row>
    <row r="807" spans="11:11" x14ac:dyDescent="0.25">
      <c r="K807" s="51">
        <f ca="1">Binomial!D116</f>
        <v>0</v>
      </c>
    </row>
    <row r="808" spans="11:11" x14ac:dyDescent="0.25">
      <c r="K808" s="51">
        <f ca="1">Binomial!D117</f>
        <v>0</v>
      </c>
    </row>
    <row r="809" spans="11:11" x14ac:dyDescent="0.25">
      <c r="K809" s="51">
        <f ca="1">Binomial!D118</f>
        <v>0</v>
      </c>
    </row>
    <row r="810" spans="11:11" x14ac:dyDescent="0.25">
      <c r="K810" s="51">
        <f ca="1">Binomial!D119</f>
        <v>0</v>
      </c>
    </row>
    <row r="811" spans="11:11" x14ac:dyDescent="0.25">
      <c r="K811" s="51">
        <f ca="1">Binomial!D120</f>
        <v>0</v>
      </c>
    </row>
    <row r="812" spans="11:11" x14ac:dyDescent="0.25">
      <c r="K812" s="51">
        <f ca="1">Binomial!D121</f>
        <v>0</v>
      </c>
    </row>
    <row r="813" spans="11:11" x14ac:dyDescent="0.25">
      <c r="K813" s="51">
        <f ca="1">Binomial!D122</f>
        <v>0</v>
      </c>
    </row>
    <row r="814" spans="11:11" x14ac:dyDescent="0.25">
      <c r="K814" s="51">
        <f ca="1">Binomial!D123</f>
        <v>0</v>
      </c>
    </row>
    <row r="815" spans="11:11" x14ac:dyDescent="0.25">
      <c r="K815" s="51">
        <f ca="1">Binomial!D124</f>
        <v>0</v>
      </c>
    </row>
    <row r="816" spans="11:11" x14ac:dyDescent="0.25">
      <c r="K816" s="51">
        <f ca="1">Binomial!D125</f>
        <v>0</v>
      </c>
    </row>
    <row r="817" spans="1:18" x14ac:dyDescent="0.25">
      <c r="K817" s="51">
        <f ca="1">Binomial!D126</f>
        <v>0</v>
      </c>
    </row>
    <row r="818" spans="1:18" x14ac:dyDescent="0.25">
      <c r="K818" s="51">
        <f ca="1">Binomial!D127</f>
        <v>0</v>
      </c>
    </row>
    <row r="819" spans="1:18" x14ac:dyDescent="0.25">
      <c r="K819" s="51">
        <f ca="1">Binomial!D128</f>
        <v>0</v>
      </c>
    </row>
    <row r="820" spans="1:18" x14ac:dyDescent="0.25">
      <c r="K820" s="51">
        <f ca="1">Binomial!D129</f>
        <v>0</v>
      </c>
    </row>
    <row r="821" spans="1:18" x14ac:dyDescent="0.25">
      <c r="K821" s="51">
        <f ca="1">Binomial!D130</f>
        <v>0</v>
      </c>
    </row>
    <row r="822" spans="1:18" x14ac:dyDescent="0.25">
      <c r="K822" s="51">
        <f ca="1">Binomial!D131</f>
        <v>0</v>
      </c>
    </row>
    <row r="823" spans="1:18" x14ac:dyDescent="0.25">
      <c r="K823" s="51">
        <f ca="1">Binomial!D132</f>
        <v>0</v>
      </c>
    </row>
    <row r="824" spans="1:18" x14ac:dyDescent="0.25">
      <c r="K824" s="51">
        <f ca="1">Binomial!D133</f>
        <v>0</v>
      </c>
    </row>
    <row r="825" spans="1:18" x14ac:dyDescent="0.25">
      <c r="K825" s="51"/>
    </row>
    <row r="826" spans="1:18" x14ac:dyDescent="0.25">
      <c r="A826" s="6" t="s">
        <v>255</v>
      </c>
      <c r="B826" s="6"/>
      <c r="C826" s="6" t="s">
        <v>256</v>
      </c>
      <c r="D826" s="6" t="s">
        <v>149</v>
      </c>
      <c r="E826" s="6" t="s">
        <v>150</v>
      </c>
      <c r="F826" s="6" t="s">
        <v>151</v>
      </c>
      <c r="G826" s="6" t="s">
        <v>152</v>
      </c>
      <c r="H826" s="6" t="s">
        <v>39</v>
      </c>
      <c r="I826" s="6" t="s">
        <v>259</v>
      </c>
      <c r="J826" s="6"/>
      <c r="K826" s="6">
        <f>Normal!D848</f>
        <v>0</v>
      </c>
      <c r="L826" s="6"/>
      <c r="M826" s="6"/>
      <c r="N826" s="6"/>
      <c r="O826" s="6"/>
      <c r="Q826" t="s">
        <v>257</v>
      </c>
      <c r="R826" t="s">
        <v>258</v>
      </c>
    </row>
    <row r="827" spans="1:18" x14ac:dyDescent="0.25">
      <c r="A827" t="s">
        <v>24</v>
      </c>
      <c r="B827" s="42">
        <f>GEV!D21</f>
        <v>2.9729846026625366</v>
      </c>
      <c r="C827">
        <f>IF($B$835=0,EXP(-(E827-$B$833)/$B$834),(1+$B$835*((E827-$B$833)/$B$834))^(-1/$B$835))</f>
        <v>459.0147033536889</v>
      </c>
      <c r="D827">
        <v>1</v>
      </c>
      <c r="E827" s="25">
        <f>B831+0.001</f>
        <v>-14.915831532388827</v>
      </c>
      <c r="F827">
        <f>(1/$B$834)*C827^($B$835+1)*EXP(-C827)</f>
        <v>5.5854885119868869E-198</v>
      </c>
      <c r="G827" t="e">
        <f>IF(OR($E827&gt;$B$830,$E827&lt;$B$829),NA(),$F827)</f>
        <v>#N/A</v>
      </c>
      <c r="H827">
        <f>EXP(-C827)</f>
        <v>4.49207730009732E-200</v>
      </c>
      <c r="I827" t="e">
        <f>IF(OR($E827&gt;$B$830,$E827&lt;$B$829),NA(),$H827)</f>
        <v>#N/A</v>
      </c>
      <c r="K827" s="44">
        <f ca="1">GEV!D34</f>
        <v>7.7107728387143775</v>
      </c>
      <c r="L827" t="s">
        <v>28</v>
      </c>
      <c r="M827" s="42">
        <f ca="1">MIN(K827:K926)</f>
        <v>-1.9595836001896867</v>
      </c>
      <c r="Q827">
        <f>IF($B$835&gt;0, $B$833-($B$834/$B$835),-9.99999E+307)</f>
        <v>-9.9999900000000002E+307</v>
      </c>
      <c r="R827">
        <f>IF($B$835&gt;0,9.99999E+307, IF($B$835=0,9.99999E+307,$B$833-($B$834/$B$835)))</f>
        <v>22</v>
      </c>
    </row>
    <row r="828" spans="1:18" x14ac:dyDescent="0.25">
      <c r="A828" t="s">
        <v>25</v>
      </c>
      <c r="B828" s="42">
        <f>GEV!D22</f>
        <v>2.2891443880601732</v>
      </c>
      <c r="C828">
        <f t="shared" ref="C828:C891" si="96">IF($B$835=0,EXP(-(E828-$B$833)/$B$834),(1+$B$835*((E828-$B$833)/$B$834))^(-1/$B$835))</f>
        <v>414.70016461811753</v>
      </c>
      <c r="D828">
        <v>2</v>
      </c>
      <c r="E828" s="25">
        <f t="shared" ref="E828:E859" si="97">($B$832-$B$831)/99+E827</f>
        <v>-14.542934244182879</v>
      </c>
      <c r="F828">
        <f t="shared" ref="F828:F891" si="98">(1/$B$834)*C828^($B$835+1)*EXP(-C828)</f>
        <v>8.9729997014613305E-179</v>
      </c>
      <c r="G828" t="e">
        <f t="shared" ref="G828:G891" si="99">IF(OR($E828&gt;$B$830,$E828&lt;$B$829),NA(),$F828)</f>
        <v>#N/A</v>
      </c>
      <c r="H828">
        <f t="shared" ref="H828:H891" si="100">EXP(-C828)</f>
        <v>7.90691121054956E-181</v>
      </c>
      <c r="I828" t="e">
        <f t="shared" ref="I828:I891" si="101">IF(OR($E828&gt;$B$830,$E828&lt;$B$829),NA(),$H828)</f>
        <v>#N/A</v>
      </c>
      <c r="K828" s="44">
        <f ca="1">GEV!D35</f>
        <v>1.8893507014554594</v>
      </c>
      <c r="L828" t="s">
        <v>29</v>
      </c>
      <c r="M828" s="42">
        <f ca="1">MAX(K827:K926)</f>
        <v>9.7846278836442213</v>
      </c>
      <c r="Q828">
        <f t="shared" ref="Q828:Q891" si="102">IF($B$835&gt;0, $B$833-($B$834/$B$835),-9.99999E+307)</f>
        <v>-9.9999900000000002E+307</v>
      </c>
      <c r="R828">
        <f t="shared" ref="R828:R891" si="103">IF($B$835&gt;0,9.99999E+307, IF($B$835=0,9.99999E+307,$B$833-($B$834/$B$835)))</f>
        <v>22</v>
      </c>
    </row>
    <row r="829" spans="1:18" x14ac:dyDescent="0.25">
      <c r="A829" t="s">
        <v>26</v>
      </c>
      <c r="B829">
        <f>GEV!D13</f>
        <v>0</v>
      </c>
      <c r="C829">
        <f t="shared" si="96"/>
        <v>374.2739221119412</v>
      </c>
      <c r="D829">
        <v>3</v>
      </c>
      <c r="E829" s="25">
        <f t="shared" si="97"/>
        <v>-14.170036955976931</v>
      </c>
      <c r="F829">
        <f t="shared" si="98"/>
        <v>2.9494532871780613E-161</v>
      </c>
      <c r="G829" t="e">
        <f t="shared" si="99"/>
        <v>#N/A</v>
      </c>
      <c r="H829">
        <f t="shared" si="100"/>
        <v>2.8503678213853955E-163</v>
      </c>
      <c r="I829" t="e">
        <f t="shared" si="101"/>
        <v>#N/A</v>
      </c>
      <c r="K829" s="44">
        <f ca="1">GEV!D36</f>
        <v>0.37188510202200753</v>
      </c>
      <c r="Q829">
        <f t="shared" si="102"/>
        <v>-9.9999900000000002E+307</v>
      </c>
      <c r="R829">
        <f t="shared" si="103"/>
        <v>22</v>
      </c>
    </row>
    <row r="830" spans="1:18" x14ac:dyDescent="0.25">
      <c r="A830" t="s">
        <v>27</v>
      </c>
      <c r="B830">
        <f>GEV!D14</f>
        <v>5</v>
      </c>
      <c r="C830">
        <f t="shared" si="96"/>
        <v>337.42969959652766</v>
      </c>
      <c r="D830">
        <v>4</v>
      </c>
      <c r="E830" s="25">
        <f t="shared" si="97"/>
        <v>-13.797139667770983</v>
      </c>
      <c r="F830">
        <f t="shared" si="98"/>
        <v>2.6945014029432587E-145</v>
      </c>
      <c r="G830" t="e">
        <f t="shared" si="99"/>
        <v>#N/A</v>
      </c>
      <c r="H830">
        <f t="shared" si="100"/>
        <v>2.8585344790781185E-147</v>
      </c>
      <c r="I830" t="e">
        <f t="shared" si="101"/>
        <v>#N/A</v>
      </c>
      <c r="K830" s="44">
        <f ca="1">GEV!D37</f>
        <v>1.382054133804858</v>
      </c>
      <c r="M830" t="s">
        <v>53</v>
      </c>
      <c r="N830" t="s">
        <v>54</v>
      </c>
      <c r="Q830">
        <f t="shared" si="102"/>
        <v>-9.9999900000000002E+307</v>
      </c>
      <c r="R830">
        <f t="shared" si="103"/>
        <v>22</v>
      </c>
    </row>
    <row r="831" spans="1:18" x14ac:dyDescent="0.25">
      <c r="A831" t="s">
        <v>28</v>
      </c>
      <c r="B831">
        <f>IF(B835=0,B833+B834*LN(1/LN(1/0.95)),B833+(B834*(LN(1/0.95))^B835-1)/B835)</f>
        <v>-14.916831532388827</v>
      </c>
      <c r="C831">
        <f t="shared" si="96"/>
        <v>303.8825420485328</v>
      </c>
      <c r="D831">
        <v>5</v>
      </c>
      <c r="E831" s="25">
        <f t="shared" si="97"/>
        <v>-13.424242379565035</v>
      </c>
      <c r="F831">
        <f t="shared" si="98"/>
        <v>9.0969125873543138E-131</v>
      </c>
      <c r="G831" t="e">
        <f t="shared" si="99"/>
        <v>#N/A</v>
      </c>
      <c r="H831">
        <f t="shared" si="100"/>
        <v>1.0604466917638489E-132</v>
      </c>
      <c r="I831" t="e">
        <f t="shared" si="101"/>
        <v>#N/A</v>
      </c>
      <c r="K831" s="44">
        <f ca="1">GEV!D38</f>
        <v>2.0220873871669824</v>
      </c>
      <c r="L831">
        <v>1</v>
      </c>
      <c r="M831">
        <f ca="1">M827</f>
        <v>-1.9595836001896867</v>
      </c>
      <c r="N831">
        <f ca="1">O831</f>
        <v>0</v>
      </c>
      <c r="O831">
        <f ca="1">COUNTIF($K$623:$K$722,"&lt;"&amp;M832)</f>
        <v>0</v>
      </c>
      <c r="P831">
        <f ca="1">M831</f>
        <v>-1.9595836001896867</v>
      </c>
      <c r="Q831">
        <f t="shared" si="102"/>
        <v>-9.9999900000000002E+307</v>
      </c>
      <c r="R831">
        <f t="shared" si="103"/>
        <v>22</v>
      </c>
    </row>
    <row r="832" spans="1:18" x14ac:dyDescent="0.25">
      <c r="A832" t="s">
        <v>29</v>
      </c>
      <c r="B832">
        <f>MIN($B$834*(1/0.01*(LN(1/0.01))^($B$835+1)),R827)</f>
        <v>22</v>
      </c>
      <c r="C832">
        <f t="shared" si="96"/>
        <v>273.36753053717325</v>
      </c>
      <c r="D832">
        <v>6</v>
      </c>
      <c r="E832" s="25">
        <f t="shared" si="97"/>
        <v>-13.051345091359087</v>
      </c>
      <c r="F832">
        <f t="shared" si="98"/>
        <v>1.479218048445442E-117</v>
      </c>
      <c r="G832" t="e">
        <f t="shared" si="99"/>
        <v>#N/A</v>
      </c>
      <c r="H832">
        <f t="shared" si="100"/>
        <v>1.8966620571047448E-119</v>
      </c>
      <c r="I832" t="e">
        <f t="shared" si="101"/>
        <v>#N/A</v>
      </c>
      <c r="K832" s="44">
        <f ca="1">GEV!D39</f>
        <v>2.5359401910932626</v>
      </c>
      <c r="L832">
        <v>2</v>
      </c>
      <c r="M832">
        <f ca="1">M831+($M$828-$M$827)/7</f>
        <v>-0.28183910249912847</v>
      </c>
      <c r="N832">
        <f t="shared" ref="N832:N837" ca="1" si="104">O832-O831</f>
        <v>8</v>
      </c>
      <c r="O832">
        <f t="shared" ref="O832:O837" ca="1" si="105">COUNTIF($K$623:$K$722,"&lt;"&amp;M833)</f>
        <v>8</v>
      </c>
      <c r="Q832">
        <f t="shared" si="102"/>
        <v>-9.9999900000000002E+307</v>
      </c>
      <c r="R832">
        <f t="shared" si="103"/>
        <v>22</v>
      </c>
    </row>
    <row r="833" spans="1:18" x14ac:dyDescent="0.25">
      <c r="A833" t="s">
        <v>6</v>
      </c>
      <c r="B833">
        <f>GEV!C5</f>
        <v>2</v>
      </c>
      <c r="C833">
        <f t="shared" si="96"/>
        <v>245.63856231266001</v>
      </c>
      <c r="D833">
        <v>7</v>
      </c>
      <c r="E833" s="25">
        <f t="shared" si="97"/>
        <v>-12.678447803153139</v>
      </c>
      <c r="F833">
        <f t="shared" si="98"/>
        <v>1.4817152184434535E-105</v>
      </c>
      <c r="G833" t="e">
        <f t="shared" si="99"/>
        <v>#N/A</v>
      </c>
      <c r="H833">
        <f t="shared" si="100"/>
        <v>2.0918370217671913E-107</v>
      </c>
      <c r="I833" t="e">
        <f t="shared" si="101"/>
        <v>#N/A</v>
      </c>
      <c r="K833" s="44">
        <f ca="1">GEV!D40</f>
        <v>3.8602017372407276</v>
      </c>
      <c r="L833">
        <v>3</v>
      </c>
      <c r="M833">
        <f t="shared" ref="M833:M838" ca="1" si="106">M832+($M$828-$M$827)/7</f>
        <v>1.3959053951914298</v>
      </c>
      <c r="N833">
        <f t="shared" ca="1" si="104"/>
        <v>9</v>
      </c>
      <c r="O833">
        <f t="shared" ca="1" si="105"/>
        <v>17</v>
      </c>
      <c r="Q833">
        <f t="shared" si="102"/>
        <v>-9.9999900000000002E+307</v>
      </c>
      <c r="R833">
        <f t="shared" si="103"/>
        <v>22</v>
      </c>
    </row>
    <row r="834" spans="1:18" x14ac:dyDescent="0.25">
      <c r="A834" t="s">
        <v>8</v>
      </c>
      <c r="B834">
        <f>GEV!C6</f>
        <v>2</v>
      </c>
      <c r="C834">
        <f t="shared" si="96"/>
        <v>220.46719343115572</v>
      </c>
      <c r="D834">
        <v>8</v>
      </c>
      <c r="E834" s="25">
        <f t="shared" si="97"/>
        <v>-12.305550514947191</v>
      </c>
      <c r="F834">
        <f t="shared" si="98"/>
        <v>1.1489312251374274E-94</v>
      </c>
      <c r="G834" t="e">
        <f t="shared" si="99"/>
        <v>#N/A</v>
      </c>
      <c r="H834">
        <f t="shared" si="100"/>
        <v>1.7877815546493106E-96</v>
      </c>
      <c r="I834" t="e">
        <f t="shared" si="101"/>
        <v>#N/A</v>
      </c>
      <c r="K834" s="44">
        <f ca="1">GEV!D41</f>
        <v>3.3217213292365049</v>
      </c>
      <c r="L834">
        <v>4</v>
      </c>
      <c r="M834">
        <f t="shared" ca="1" si="106"/>
        <v>3.073649892881988</v>
      </c>
      <c r="N834">
        <f t="shared" ca="1" si="104"/>
        <v>8</v>
      </c>
      <c r="O834">
        <f t="shared" ca="1" si="105"/>
        <v>25</v>
      </c>
      <c r="P834">
        <f ca="1">M834</f>
        <v>3.073649892881988</v>
      </c>
      <c r="Q834">
        <f t="shared" si="102"/>
        <v>-9.9999900000000002E+307</v>
      </c>
      <c r="R834">
        <f t="shared" si="103"/>
        <v>22</v>
      </c>
    </row>
    <row r="835" spans="1:18" x14ac:dyDescent="0.25">
      <c r="A835" t="s">
        <v>247</v>
      </c>
      <c r="B835">
        <f>GEV!C7</f>
        <v>-0.1</v>
      </c>
      <c r="C835">
        <f t="shared" si="96"/>
        <v>197.64154132479831</v>
      </c>
      <c r="D835">
        <v>9</v>
      </c>
      <c r="E835" s="25">
        <f t="shared" si="97"/>
        <v>-11.932653226741243</v>
      </c>
      <c r="F835">
        <f t="shared" si="98"/>
        <v>8.5237287555901953E-85</v>
      </c>
      <c r="G835" t="e">
        <f t="shared" si="99"/>
        <v>#N/A</v>
      </c>
      <c r="H835">
        <f t="shared" si="100"/>
        <v>1.4634207470934868E-86</v>
      </c>
      <c r="I835" t="e">
        <f t="shared" si="101"/>
        <v>#N/A</v>
      </c>
      <c r="K835" s="44">
        <f ca="1">GEV!D42</f>
        <v>5.3883474059672825</v>
      </c>
      <c r="L835">
        <v>5</v>
      </c>
      <c r="M835">
        <f t="shared" ca="1" si="106"/>
        <v>4.7513943905725462</v>
      </c>
      <c r="N835">
        <f t="shared" ca="1" si="104"/>
        <v>7</v>
      </c>
      <c r="O835">
        <f t="shared" ca="1" si="105"/>
        <v>32</v>
      </c>
      <c r="Q835">
        <f t="shared" si="102"/>
        <v>-9.9999900000000002E+307</v>
      </c>
      <c r="R835">
        <f t="shared" si="103"/>
        <v>22</v>
      </c>
    </row>
    <row r="836" spans="1:18" x14ac:dyDescent="0.25">
      <c r="C836">
        <f t="shared" si="96"/>
        <v>176.96524480669245</v>
      </c>
      <c r="D836">
        <v>10</v>
      </c>
      <c r="E836" s="25">
        <f t="shared" si="97"/>
        <v>-11.559755938535295</v>
      </c>
      <c r="F836">
        <f t="shared" si="98"/>
        <v>7.362747030445262E-76</v>
      </c>
      <c r="G836" t="e">
        <f t="shared" si="99"/>
        <v>#N/A</v>
      </c>
      <c r="H836">
        <f t="shared" si="100"/>
        <v>1.396274130826247E-77</v>
      </c>
      <c r="I836" t="e">
        <f t="shared" si="101"/>
        <v>#N/A</v>
      </c>
      <c r="K836" s="44">
        <f ca="1">GEV!D43</f>
        <v>9.7766707669235924</v>
      </c>
      <c r="L836">
        <v>6</v>
      </c>
      <c r="M836">
        <f t="shared" ca="1" si="106"/>
        <v>6.429138888263104</v>
      </c>
      <c r="N836">
        <f t="shared" ca="1" si="104"/>
        <v>7</v>
      </c>
      <c r="O836">
        <f t="shared" ca="1" si="105"/>
        <v>39</v>
      </c>
      <c r="Q836">
        <f t="shared" si="102"/>
        <v>-9.9999900000000002E+307</v>
      </c>
      <c r="R836">
        <f t="shared" si="103"/>
        <v>22</v>
      </c>
    </row>
    <row r="837" spans="1:18" x14ac:dyDescent="0.25">
      <c r="C837">
        <f t="shared" si="96"/>
        <v>158.25647908045732</v>
      </c>
      <c r="D837">
        <v>11</v>
      </c>
      <c r="E837" s="25">
        <f t="shared" si="97"/>
        <v>-11.186858650329347</v>
      </c>
      <c r="F837">
        <f t="shared" si="98"/>
        <v>8.8813659164607738E-68</v>
      </c>
      <c r="G837" t="e">
        <f t="shared" si="99"/>
        <v>#N/A</v>
      </c>
      <c r="H837">
        <f t="shared" si="100"/>
        <v>1.8624490889980479E-69</v>
      </c>
      <c r="I837" t="e">
        <f t="shared" si="101"/>
        <v>#N/A</v>
      </c>
      <c r="K837" s="44">
        <f ca="1">GEV!D44</f>
        <v>4.4861525033543668</v>
      </c>
      <c r="L837">
        <v>7</v>
      </c>
      <c r="M837">
        <f t="shared" ca="1" si="106"/>
        <v>8.1068833859536618</v>
      </c>
      <c r="N837">
        <f t="shared" ca="1" si="104"/>
        <v>2</v>
      </c>
      <c r="O837">
        <f t="shared" ca="1" si="105"/>
        <v>41</v>
      </c>
      <c r="P837">
        <f ca="1">M838</f>
        <v>9.7846278836442195</v>
      </c>
      <c r="Q837">
        <f t="shared" si="102"/>
        <v>-9.9999900000000002E+307</v>
      </c>
      <c r="R837">
        <f t="shared" si="103"/>
        <v>22</v>
      </c>
    </row>
    <row r="838" spans="1:18" x14ac:dyDescent="0.25">
      <c r="B838">
        <f>IF(B835=0,B833+B834*LN(1/LN(1/0.95)),B833+(B834*(LN(1/0.95))^B835-1)/B835)</f>
        <v>-14.916831532388827</v>
      </c>
      <c r="C838">
        <f t="shared" si="96"/>
        <v>141.34702340188886</v>
      </c>
      <c r="D838">
        <v>12</v>
      </c>
      <c r="E838" s="25">
        <f t="shared" si="97"/>
        <v>-10.813961362123399</v>
      </c>
      <c r="F838">
        <f t="shared" si="98"/>
        <v>1.77009146466544E-60</v>
      </c>
      <c r="G838" t="e">
        <f t="shared" si="99"/>
        <v>#N/A</v>
      </c>
      <c r="H838">
        <f t="shared" si="100"/>
        <v>4.1092986276625054E-62</v>
      </c>
      <c r="I838" t="e">
        <f t="shared" si="101"/>
        <v>#N/A</v>
      </c>
      <c r="K838" s="44">
        <f ca="1">GEV!D45</f>
        <v>3.2773891548085747</v>
      </c>
      <c r="L838">
        <v>8</v>
      </c>
      <c r="M838">
        <f t="shared" ca="1" si="106"/>
        <v>9.7846278836442195</v>
      </c>
      <c r="Q838">
        <f t="shared" si="102"/>
        <v>-9.9999900000000002E+307</v>
      </c>
      <c r="R838">
        <f t="shared" si="103"/>
        <v>22</v>
      </c>
    </row>
    <row r="839" spans="1:18" x14ac:dyDescent="0.25">
      <c r="C839">
        <f t="shared" si="96"/>
        <v>126.08137911656016</v>
      </c>
      <c r="D839">
        <v>13</v>
      </c>
      <c r="E839" s="25">
        <f t="shared" si="97"/>
        <v>-10.441064073917451</v>
      </c>
      <c r="F839">
        <f t="shared" si="98"/>
        <v>6.8093967453266219E-54</v>
      </c>
      <c r="G839" t="e">
        <f t="shared" si="99"/>
        <v>#N/A</v>
      </c>
      <c r="H839">
        <f t="shared" si="100"/>
        <v>1.7520753474281377E-55</v>
      </c>
      <c r="I839" t="e">
        <f t="shared" si="101"/>
        <v>#N/A</v>
      </c>
      <c r="K839" s="44">
        <f ca="1">GEV!D46</f>
        <v>6.073764462293008</v>
      </c>
      <c r="Q839">
        <f t="shared" si="102"/>
        <v>-9.9999900000000002E+307</v>
      </c>
      <c r="R839">
        <f t="shared" si="103"/>
        <v>22</v>
      </c>
    </row>
    <row r="840" spans="1:18" x14ac:dyDescent="0.25">
      <c r="C840">
        <f t="shared" si="96"/>
        <v>112.3159358718177</v>
      </c>
      <c r="D840">
        <v>14</v>
      </c>
      <c r="E840" s="25">
        <f t="shared" si="97"/>
        <v>-10.068166785711503</v>
      </c>
      <c r="F840">
        <f t="shared" si="98"/>
        <v>5.8368168707673589E-48</v>
      </c>
      <c r="G840" t="e">
        <f t="shared" si="99"/>
        <v>#N/A</v>
      </c>
      <c r="H840">
        <f t="shared" si="100"/>
        <v>1.6665134422513274E-49</v>
      </c>
      <c r="I840" t="e">
        <f t="shared" si="101"/>
        <v>#N/A</v>
      </c>
      <c r="K840" s="44">
        <f ca="1">GEV!D47</f>
        <v>4.1390085817633882</v>
      </c>
      <c r="Q840">
        <f t="shared" si="102"/>
        <v>-9.9999900000000002E+307</v>
      </c>
      <c r="R840">
        <f t="shared" si="103"/>
        <v>22</v>
      </c>
    </row>
    <row r="841" spans="1:18" x14ac:dyDescent="0.25">
      <c r="C841">
        <f t="shared" si="96"/>
        <v>99.918183874579285</v>
      </c>
      <c r="D841">
        <v>15</v>
      </c>
      <c r="E841" s="25">
        <f t="shared" si="97"/>
        <v>-9.6952694975055547</v>
      </c>
      <c r="F841">
        <f t="shared" si="98"/>
        <v>1.27272385503324E-42</v>
      </c>
      <c r="G841" t="e">
        <f t="shared" si="99"/>
        <v>#N/A</v>
      </c>
      <c r="H841">
        <f t="shared" si="100"/>
        <v>4.0372356679158645E-44</v>
      </c>
      <c r="I841" t="e">
        <f t="shared" si="101"/>
        <v>#N/A</v>
      </c>
      <c r="K841" s="44">
        <f ca="1">GEV!D48</f>
        <v>5.9402806769937353</v>
      </c>
      <c r="Q841">
        <f t="shared" si="102"/>
        <v>-9.9999900000000002E+307</v>
      </c>
      <c r="R841">
        <f t="shared" si="103"/>
        <v>22</v>
      </c>
    </row>
    <row r="842" spans="1:18" x14ac:dyDescent="0.25">
      <c r="C842">
        <f t="shared" si="96"/>
        <v>88.765970137683951</v>
      </c>
      <c r="D842">
        <v>16</v>
      </c>
      <c r="E842" s="25">
        <f t="shared" si="97"/>
        <v>-9.3223722092996066</v>
      </c>
      <c r="F842">
        <f t="shared" si="98"/>
        <v>7.9766556901448952E-38</v>
      </c>
      <c r="G842" t="e">
        <f t="shared" si="99"/>
        <v>#N/A</v>
      </c>
      <c r="H842">
        <f t="shared" si="100"/>
        <v>2.8146797486087262E-39</v>
      </c>
      <c r="I842" t="e">
        <f t="shared" si="101"/>
        <v>#N/A</v>
      </c>
      <c r="K842" s="44">
        <f ca="1">GEV!D49</f>
        <v>1.4975659024024539</v>
      </c>
      <c r="N842">
        <f ca="1">SUM(N831:N840)</f>
        <v>41</v>
      </c>
      <c r="O842">
        <f ca="1">SUM(O831:O840)</f>
        <v>162</v>
      </c>
      <c r="Q842">
        <f t="shared" si="102"/>
        <v>-9.9999900000000002E+307</v>
      </c>
      <c r="R842">
        <f t="shared" si="103"/>
        <v>22</v>
      </c>
    </row>
    <row r="843" spans="1:18" x14ac:dyDescent="0.25">
      <c r="C843">
        <f t="shared" si="96"/>
        <v>78.74679672726576</v>
      </c>
      <c r="D843">
        <v>17</v>
      </c>
      <c r="E843" s="25">
        <f t="shared" si="97"/>
        <v>-8.9494749210936586</v>
      </c>
      <c r="F843">
        <f t="shared" si="98"/>
        <v>1.6079788237126717E-33</v>
      </c>
      <c r="G843" t="e">
        <f t="shared" si="99"/>
        <v>#N/A</v>
      </c>
      <c r="H843">
        <f t="shared" si="100"/>
        <v>6.3197618628865055E-35</v>
      </c>
      <c r="I843" t="e">
        <f t="shared" si="101"/>
        <v>#N/A</v>
      </c>
      <c r="K843" s="44">
        <f ca="1">GEV!D50</f>
        <v>1.6040405574980836</v>
      </c>
      <c r="Q843">
        <f t="shared" si="102"/>
        <v>-9.9999900000000002E+307</v>
      </c>
      <c r="R843">
        <f t="shared" si="103"/>
        <v>22</v>
      </c>
    </row>
    <row r="844" spans="1:18" x14ac:dyDescent="0.25">
      <c r="C844">
        <f t="shared" si="96"/>
        <v>69.757159091746757</v>
      </c>
      <c r="D844">
        <v>18</v>
      </c>
      <c r="E844" s="25">
        <f t="shared" si="97"/>
        <v>-8.5765776328877106</v>
      </c>
      <c r="F844">
        <f t="shared" si="98"/>
        <v>1.1562470676895245E-29</v>
      </c>
      <c r="G844" t="e">
        <f t="shared" si="99"/>
        <v>#N/A</v>
      </c>
      <c r="H844">
        <f t="shared" si="100"/>
        <v>5.0681648576755757E-31</v>
      </c>
      <c r="I844" t="e">
        <f t="shared" si="101"/>
        <v>#N/A</v>
      </c>
      <c r="K844" s="44">
        <f ca="1">GEV!D51</f>
        <v>3.1747545259088099</v>
      </c>
      <c r="Q844">
        <f t="shared" si="102"/>
        <v>-9.9999900000000002E+307</v>
      </c>
      <c r="R844">
        <f t="shared" si="103"/>
        <v>22</v>
      </c>
    </row>
    <row r="845" spans="1:18" x14ac:dyDescent="0.25">
      <c r="C845">
        <f t="shared" si="96"/>
        <v>61.701922619609732</v>
      </c>
      <c r="D845">
        <v>19</v>
      </c>
      <c r="E845" s="25">
        <f t="shared" si="97"/>
        <v>-8.2036803446817625</v>
      </c>
      <c r="F845">
        <f t="shared" si="98"/>
        <v>3.2616271602075714E-26</v>
      </c>
      <c r="G845" t="e">
        <f t="shared" si="99"/>
        <v>#N/A</v>
      </c>
      <c r="H845">
        <f t="shared" si="100"/>
        <v>1.5965976418234456E-27</v>
      </c>
      <c r="I845" t="e">
        <f t="shared" si="101"/>
        <v>#N/A</v>
      </c>
      <c r="K845" s="44">
        <f ca="1">GEV!D52</f>
        <v>7.5396492477150234</v>
      </c>
      <c r="Q845">
        <f t="shared" si="102"/>
        <v>-9.9999900000000002E+307</v>
      </c>
      <c r="R845">
        <f t="shared" si="103"/>
        <v>22</v>
      </c>
    </row>
    <row r="846" spans="1:18" x14ac:dyDescent="0.25">
      <c r="C846">
        <f t="shared" si="96"/>
        <v>54.493735638096318</v>
      </c>
      <c r="D846">
        <v>20</v>
      </c>
      <c r="E846" s="25">
        <f t="shared" si="97"/>
        <v>-7.8307830564758145</v>
      </c>
      <c r="F846">
        <f t="shared" si="98"/>
        <v>3.9387030641485226E-23</v>
      </c>
      <c r="G846" t="e">
        <f t="shared" si="99"/>
        <v>#N/A</v>
      </c>
      <c r="H846">
        <f t="shared" si="100"/>
        <v>2.1561119870877629E-24</v>
      </c>
      <c r="I846" t="e">
        <f t="shared" si="101"/>
        <v>#N/A</v>
      </c>
      <c r="K846" s="44">
        <f ca="1">GEV!D53</f>
        <v>1.8140909764020678</v>
      </c>
      <c r="Q846">
        <f t="shared" si="102"/>
        <v>-9.9999900000000002E+307</v>
      </c>
      <c r="R846">
        <f t="shared" si="103"/>
        <v>22</v>
      </c>
    </row>
    <row r="847" spans="1:18" x14ac:dyDescent="0.25">
      <c r="C847">
        <f t="shared" si="96"/>
        <v>48.052477128445929</v>
      </c>
      <c r="D847">
        <v>21</v>
      </c>
      <c r="E847" s="25">
        <f t="shared" si="97"/>
        <v>-7.4578857682698665</v>
      </c>
      <c r="F847">
        <f t="shared" si="98"/>
        <v>2.2059138541828307E-20</v>
      </c>
      <c r="G847" t="e">
        <f t="shared" si="99"/>
        <v>#N/A</v>
      </c>
      <c r="H847">
        <f t="shared" si="100"/>
        <v>1.3523040270632412E-21</v>
      </c>
      <c r="I847" t="e">
        <f t="shared" si="101"/>
        <v>#N/A</v>
      </c>
      <c r="K847" s="44">
        <f ca="1">GEV!D54</f>
        <v>8.7042451737373518</v>
      </c>
      <c r="Q847">
        <f t="shared" si="102"/>
        <v>-9.9999900000000002E+307</v>
      </c>
      <c r="R847">
        <f t="shared" si="103"/>
        <v>22</v>
      </c>
    </row>
    <row r="848" spans="1:18" x14ac:dyDescent="0.25">
      <c r="C848">
        <f t="shared" si="96"/>
        <v>42.304737495223527</v>
      </c>
      <c r="D848">
        <v>22</v>
      </c>
      <c r="E848" s="25">
        <f t="shared" si="97"/>
        <v>-7.0849884800639185</v>
      </c>
      <c r="F848">
        <f t="shared" si="98"/>
        <v>6.1660359985633421E-18</v>
      </c>
      <c r="G848" t="e">
        <f t="shared" si="99"/>
        <v>#N/A</v>
      </c>
      <c r="H848">
        <f t="shared" si="100"/>
        <v>4.2392199220270016E-19</v>
      </c>
      <c r="I848" t="e">
        <f t="shared" si="101"/>
        <v>#N/A</v>
      </c>
      <c r="K848" s="44">
        <f ca="1">GEV!D55</f>
        <v>2.9553491091088318</v>
      </c>
      <c r="Q848">
        <f t="shared" si="102"/>
        <v>-9.9999900000000002E+307</v>
      </c>
      <c r="R848">
        <f t="shared" si="103"/>
        <v>22</v>
      </c>
    </row>
    <row r="849" spans="3:18" x14ac:dyDescent="0.25">
      <c r="C849">
        <f t="shared" si="96"/>
        <v>37.183330787725581</v>
      </c>
      <c r="D849">
        <v>23</v>
      </c>
      <c r="E849" s="25">
        <f t="shared" si="97"/>
        <v>-6.7120911918579704</v>
      </c>
      <c r="F849">
        <f t="shared" si="98"/>
        <v>9.1995818045411468E-16</v>
      </c>
      <c r="G849" t="e">
        <f t="shared" si="99"/>
        <v>#N/A</v>
      </c>
      <c r="H849">
        <f t="shared" si="100"/>
        <v>7.1037001286107632E-17</v>
      </c>
      <c r="I849" t="e">
        <f t="shared" si="101"/>
        <v>#N/A</v>
      </c>
      <c r="K849" s="44">
        <f ca="1">GEV!D56</f>
        <v>6.1779392289700752E-2</v>
      </c>
      <c r="Q849">
        <f t="shared" si="102"/>
        <v>-9.9999900000000002E+307</v>
      </c>
      <c r="R849">
        <f t="shared" si="103"/>
        <v>22</v>
      </c>
    </row>
    <row r="850" spans="3:18" x14ac:dyDescent="0.25">
      <c r="C850">
        <f t="shared" si="96"/>
        <v>32.626836830409239</v>
      </c>
      <c r="D850">
        <v>24</v>
      </c>
      <c r="E850" s="25">
        <f t="shared" si="97"/>
        <v>-6.3391939036520224</v>
      </c>
      <c r="F850">
        <f t="shared" si="98"/>
        <v>7.7899071429798834E-14</v>
      </c>
      <c r="G850" t="e">
        <f t="shared" si="99"/>
        <v>#N/A</v>
      </c>
      <c r="H850">
        <f t="shared" si="100"/>
        <v>6.7661995603139764E-15</v>
      </c>
      <c r="I850" t="e">
        <f t="shared" si="101"/>
        <v>#N/A</v>
      </c>
      <c r="K850" s="44">
        <f ca="1">GEV!D57</f>
        <v>1.1385570483260548</v>
      </c>
      <c r="Q850">
        <f t="shared" si="102"/>
        <v>-9.9999900000000002E+307</v>
      </c>
      <c r="R850">
        <f t="shared" si="103"/>
        <v>22</v>
      </c>
    </row>
    <row r="851" spans="3:18" x14ac:dyDescent="0.25">
      <c r="C851">
        <f t="shared" si="96"/>
        <v>28.579171776776679</v>
      </c>
      <c r="D851">
        <v>25</v>
      </c>
      <c r="E851" s="25">
        <f t="shared" si="97"/>
        <v>-5.9662966154460744</v>
      </c>
      <c r="F851">
        <f t="shared" si="98"/>
        <v>3.9594793219218275E-12</v>
      </c>
      <c r="G851" t="e">
        <f t="shared" si="99"/>
        <v>#N/A</v>
      </c>
      <c r="H851">
        <f t="shared" si="100"/>
        <v>3.8745690051652065E-13</v>
      </c>
      <c r="I851" t="e">
        <f t="shared" si="101"/>
        <v>#N/A</v>
      </c>
      <c r="K851" s="44">
        <f ca="1">GEV!D58</f>
        <v>3.9049138224923934</v>
      </c>
      <c r="Q851">
        <f t="shared" si="102"/>
        <v>-9.9999900000000002E+307</v>
      </c>
      <c r="R851">
        <f t="shared" si="103"/>
        <v>22</v>
      </c>
    </row>
    <row r="852" spans="3:18" x14ac:dyDescent="0.25">
      <c r="C852">
        <f t="shared" si="96"/>
        <v>24.98918565719519</v>
      </c>
      <c r="D852">
        <v>26</v>
      </c>
      <c r="E852" s="25">
        <f t="shared" si="97"/>
        <v>-5.5933993272401263</v>
      </c>
      <c r="F852">
        <f t="shared" si="98"/>
        <v>1.2713978112578719E-10</v>
      </c>
      <c r="G852" t="e">
        <f t="shared" si="99"/>
        <v>#N/A</v>
      </c>
      <c r="H852">
        <f t="shared" si="100"/>
        <v>1.4038947883728352E-11</v>
      </c>
      <c r="I852" t="e">
        <f t="shared" si="101"/>
        <v>#N/A</v>
      </c>
      <c r="K852" s="44">
        <f ca="1">GEV!D59</f>
        <v>3.4344899557582647</v>
      </c>
      <c r="Q852">
        <f t="shared" si="102"/>
        <v>-9.9999900000000002E+307</v>
      </c>
      <c r="R852">
        <f t="shared" si="103"/>
        <v>22</v>
      </c>
    </row>
    <row r="853" spans="3:18" x14ac:dyDescent="0.25">
      <c r="C853">
        <f t="shared" si="96"/>
        <v>21.81028554574775</v>
      </c>
      <c r="D853">
        <v>27</v>
      </c>
      <c r="E853" s="25">
        <f t="shared" si="97"/>
        <v>-5.2205020390341783</v>
      </c>
      <c r="F853">
        <f t="shared" si="98"/>
        <v>2.7019577853532405E-9</v>
      </c>
      <c r="G853" t="e">
        <f t="shared" si="99"/>
        <v>#N/A</v>
      </c>
      <c r="H853">
        <f t="shared" si="100"/>
        <v>3.372200114084779E-10</v>
      </c>
      <c r="I853" t="e">
        <f t="shared" si="101"/>
        <v>#N/A</v>
      </c>
      <c r="K853" s="44">
        <f ca="1">GEV!D60</f>
        <v>3.9481702253833788</v>
      </c>
      <c r="Q853">
        <f t="shared" si="102"/>
        <v>-9.9999900000000002E+307</v>
      </c>
      <c r="R853">
        <f t="shared" si="103"/>
        <v>22</v>
      </c>
    </row>
    <row r="854" spans="3:18" x14ac:dyDescent="0.25">
      <c r="C854">
        <f t="shared" si="96"/>
        <v>19.000083024416643</v>
      </c>
      <c r="D854">
        <v>28</v>
      </c>
      <c r="E854" s="25">
        <f t="shared" si="97"/>
        <v>-4.8476047508282303</v>
      </c>
      <c r="F854">
        <f t="shared" si="98"/>
        <v>3.964776768321751E-8</v>
      </c>
      <c r="G854" t="e">
        <f t="shared" si="99"/>
        <v>#N/A</v>
      </c>
      <c r="H854">
        <f t="shared" si="100"/>
        <v>5.6023312879411261E-9</v>
      </c>
      <c r="I854" t="e">
        <f t="shared" si="101"/>
        <v>#N/A</v>
      </c>
      <c r="K854" s="44">
        <f ca="1">GEV!D61</f>
        <v>3.3052066891066283</v>
      </c>
      <c r="Q854">
        <f t="shared" si="102"/>
        <v>-9.9999900000000002E+307</v>
      </c>
      <c r="R854">
        <f t="shared" si="103"/>
        <v>22</v>
      </c>
    </row>
    <row r="855" spans="3:18" x14ac:dyDescent="0.25">
      <c r="C855">
        <f t="shared" si="96"/>
        <v>16.520064674720135</v>
      </c>
      <c r="D855">
        <v>29</v>
      </c>
      <c r="E855" s="25">
        <f t="shared" si="97"/>
        <v>-4.4747074626222823</v>
      </c>
      <c r="F855">
        <f t="shared" si="98"/>
        <v>4.1745305563837553E-7</v>
      </c>
      <c r="G855" t="e">
        <f t="shared" si="99"/>
        <v>#N/A</v>
      </c>
      <c r="H855">
        <f t="shared" si="100"/>
        <v>6.6900146851822201E-8</v>
      </c>
      <c r="I855" t="e">
        <f t="shared" si="101"/>
        <v>#N/A</v>
      </c>
      <c r="K855" s="44">
        <f ca="1">GEV!D62</f>
        <v>4.6127315564596332</v>
      </c>
      <c r="Q855">
        <f t="shared" si="102"/>
        <v>-9.9999900000000002E+307</v>
      </c>
      <c r="R855">
        <f t="shared" si="103"/>
        <v>22</v>
      </c>
    </row>
    <row r="856" spans="3:18" x14ac:dyDescent="0.25">
      <c r="C856">
        <f t="shared" si="96"/>
        <v>14.335284377364726</v>
      </c>
      <c r="D856">
        <v>30</v>
      </c>
      <c r="E856" s="25">
        <f t="shared" si="97"/>
        <v>-4.1018101744163342</v>
      </c>
      <c r="F856">
        <f t="shared" si="98"/>
        <v>3.2658842187371745E-6</v>
      </c>
      <c r="G856" t="e">
        <f t="shared" si="99"/>
        <v>#N/A</v>
      </c>
      <c r="H856">
        <f t="shared" si="100"/>
        <v>5.9465503219246572E-7</v>
      </c>
      <c r="I856" t="e">
        <f t="shared" si="101"/>
        <v>#N/A</v>
      </c>
      <c r="K856" s="44">
        <f ca="1">GEV!D63</f>
        <v>2.0299248410506858</v>
      </c>
      <c r="Q856">
        <f t="shared" si="102"/>
        <v>-9.9999900000000002E+307</v>
      </c>
      <c r="R856">
        <f t="shared" si="103"/>
        <v>22</v>
      </c>
    </row>
    <row r="857" spans="3:18" x14ac:dyDescent="0.25">
      <c r="C857">
        <f t="shared" si="96"/>
        <v>12.414076249567104</v>
      </c>
      <c r="D857">
        <v>31</v>
      </c>
      <c r="E857" s="25">
        <f t="shared" si="97"/>
        <v>-3.7289128862103866</v>
      </c>
      <c r="F857">
        <f t="shared" si="98"/>
        <v>1.95942280772821E-5</v>
      </c>
      <c r="G857" t="e">
        <f t="shared" si="99"/>
        <v>#N/A</v>
      </c>
      <c r="H857">
        <f t="shared" si="100"/>
        <v>4.0610205474652911E-6</v>
      </c>
      <c r="I857" t="e">
        <f t="shared" si="101"/>
        <v>#N/A</v>
      </c>
      <c r="K857" s="44">
        <f ca="1">GEV!D64</f>
        <v>5.0144117201139782</v>
      </c>
      <c r="Q857">
        <f t="shared" si="102"/>
        <v>-9.9999900000000002E+307</v>
      </c>
      <c r="R857">
        <f t="shared" si="103"/>
        <v>22</v>
      </c>
    </row>
    <row r="858" spans="3:18" x14ac:dyDescent="0.25">
      <c r="C858">
        <f t="shared" si="96"/>
        <v>10.727787097453417</v>
      </c>
      <c r="D858">
        <v>32</v>
      </c>
      <c r="E858" s="25">
        <f t="shared" si="97"/>
        <v>-3.356015598004439</v>
      </c>
      <c r="F858">
        <f t="shared" si="98"/>
        <v>9.2770606582157504E-5</v>
      </c>
      <c r="G858" t="e">
        <f t="shared" si="99"/>
        <v>#N/A</v>
      </c>
      <c r="H858">
        <f t="shared" si="100"/>
        <v>2.192710319625853E-5</v>
      </c>
      <c r="I858" t="e">
        <f t="shared" si="101"/>
        <v>#N/A</v>
      </c>
      <c r="K858" s="44">
        <f ca="1">GEV!D65</f>
        <v>3.5913603958753297</v>
      </c>
      <c r="Q858">
        <f t="shared" si="102"/>
        <v>-9.9999900000000002E+307</v>
      </c>
      <c r="R858">
        <f t="shared" si="103"/>
        <v>22</v>
      </c>
    </row>
    <row r="859" spans="3:18" x14ac:dyDescent="0.25">
      <c r="C859">
        <f t="shared" si="96"/>
        <v>9.250527307380926</v>
      </c>
      <c r="D859">
        <v>33</v>
      </c>
      <c r="E859" s="25">
        <f t="shared" si="97"/>
        <v>-2.9831183097984915</v>
      </c>
      <c r="F859">
        <f t="shared" si="98"/>
        <v>3.5568608940047029E-4</v>
      </c>
      <c r="G859" t="e">
        <f t="shared" si="99"/>
        <v>#N/A</v>
      </c>
      <c r="H859">
        <f t="shared" si="100"/>
        <v>9.6060985037591545E-5</v>
      </c>
      <c r="I859" t="e">
        <f t="shared" si="101"/>
        <v>#N/A</v>
      </c>
      <c r="K859" s="44">
        <f ca="1">GEV!D66</f>
        <v>2.8369810740101302</v>
      </c>
      <c r="Q859">
        <f t="shared" si="102"/>
        <v>-9.9999900000000002E+307</v>
      </c>
      <c r="R859">
        <f t="shared" si="103"/>
        <v>22</v>
      </c>
    </row>
    <row r="860" spans="3:18" x14ac:dyDescent="0.25">
      <c r="C860">
        <f t="shared" si="96"/>
        <v>7.9589391451660676</v>
      </c>
      <c r="D860">
        <v>34</v>
      </c>
      <c r="E860" s="25">
        <f t="shared" ref="E860:E891" si="107">($B$832-$B$831)/99+E859</f>
        <v>-2.6102210215925439</v>
      </c>
      <c r="F860">
        <f t="shared" si="98"/>
        <v>1.1303587941066684E-3</v>
      </c>
      <c r="G860" t="e">
        <f t="shared" si="99"/>
        <v>#N/A</v>
      </c>
      <c r="H860">
        <f t="shared" si="100"/>
        <v>3.4952371477248525E-4</v>
      </c>
      <c r="I860" t="e">
        <f t="shared" si="101"/>
        <v>#N/A</v>
      </c>
      <c r="K860" s="44">
        <f ca="1">GEV!D67</f>
        <v>6.237131027425149</v>
      </c>
      <c r="Q860">
        <f t="shared" si="102"/>
        <v>-9.9999900000000002E+307</v>
      </c>
      <c r="R860">
        <f t="shared" si="103"/>
        <v>22</v>
      </c>
    </row>
    <row r="861" spans="3:18" x14ac:dyDescent="0.25">
      <c r="C861">
        <f t="shared" si="96"/>
        <v>6.8319814760602799</v>
      </c>
      <c r="D861">
        <v>35</v>
      </c>
      <c r="E861" s="25">
        <f t="shared" si="107"/>
        <v>-2.2373237333865963</v>
      </c>
      <c r="F861">
        <f t="shared" si="98"/>
        <v>3.0406761029655432E-3</v>
      </c>
      <c r="G861" t="e">
        <f t="shared" si="99"/>
        <v>#N/A</v>
      </c>
      <c r="H861">
        <f t="shared" si="100"/>
        <v>1.0787185435761266E-3</v>
      </c>
      <c r="I861" t="e">
        <f t="shared" si="101"/>
        <v>#N/A</v>
      </c>
      <c r="K861" s="44">
        <f ca="1">GEV!D68</f>
        <v>1.4418173080336132</v>
      </c>
      <c r="Q861">
        <f t="shared" si="102"/>
        <v>-9.9999900000000002E+307</v>
      </c>
      <c r="R861">
        <f t="shared" si="103"/>
        <v>22</v>
      </c>
    </row>
    <row r="862" spans="3:18" x14ac:dyDescent="0.25">
      <c r="C862">
        <f t="shared" si="96"/>
        <v>5.8507299609120489</v>
      </c>
      <c r="D862">
        <v>36</v>
      </c>
      <c r="E862" s="25">
        <f t="shared" si="107"/>
        <v>-1.8644264451806485</v>
      </c>
      <c r="F862">
        <f t="shared" si="98"/>
        <v>7.055362227091945E-3</v>
      </c>
      <c r="G862" t="e">
        <f t="shared" si="99"/>
        <v>#N/A</v>
      </c>
      <c r="H862">
        <f t="shared" si="100"/>
        <v>2.8777977113524948E-3</v>
      </c>
      <c r="I862" t="e">
        <f t="shared" si="101"/>
        <v>#N/A</v>
      </c>
      <c r="K862" s="44">
        <f ca="1">GEV!D69</f>
        <v>3.8365284085449174</v>
      </c>
      <c r="Q862">
        <f t="shared" si="102"/>
        <v>-9.9999900000000002E+307</v>
      </c>
      <c r="R862">
        <f t="shared" si="103"/>
        <v>22</v>
      </c>
    </row>
    <row r="863" spans="3:18" x14ac:dyDescent="0.25">
      <c r="C863">
        <f t="shared" si="96"/>
        <v>4.9981918253060096</v>
      </c>
      <c r="D863">
        <v>37</v>
      </c>
      <c r="E863" s="25">
        <f t="shared" si="107"/>
        <v>-1.4915291569747007</v>
      </c>
      <c r="F863">
        <f t="shared" si="98"/>
        <v>1.4361986130748438E-2</v>
      </c>
      <c r="G863" t="e">
        <f t="shared" si="99"/>
        <v>#N/A</v>
      </c>
      <c r="H863">
        <f t="shared" si="100"/>
        <v>6.7501414058250362E-3</v>
      </c>
      <c r="I863" t="e">
        <f t="shared" si="101"/>
        <v>#N/A</v>
      </c>
      <c r="K863" s="44">
        <f ca="1">GEV!D70</f>
        <v>4.1496889412638476</v>
      </c>
      <c r="Q863">
        <f t="shared" si="102"/>
        <v>-9.9999900000000002E+307</v>
      </c>
      <c r="R863">
        <f t="shared" si="103"/>
        <v>22</v>
      </c>
    </row>
    <row r="864" spans="3:18" x14ac:dyDescent="0.25">
      <c r="C864">
        <f t="shared" si="96"/>
        <v>4.2591343385975708</v>
      </c>
      <c r="D864">
        <v>38</v>
      </c>
      <c r="E864" s="25">
        <f t="shared" si="107"/>
        <v>-1.1186318687687529</v>
      </c>
      <c r="F864">
        <f t="shared" si="98"/>
        <v>2.6039981301756467E-2</v>
      </c>
      <c r="G864" t="e">
        <f t="shared" si="99"/>
        <v>#N/A</v>
      </c>
      <c r="H864">
        <f t="shared" si="100"/>
        <v>1.4134532835213562E-2</v>
      </c>
      <c r="I864" t="e">
        <f t="shared" si="101"/>
        <v>#N/A</v>
      </c>
      <c r="K864" s="44">
        <f ca="1">GEV!D71</f>
        <v>4.9228258148072594</v>
      </c>
      <c r="Q864">
        <f t="shared" si="102"/>
        <v>-9.9999900000000002E+307</v>
      </c>
      <c r="R864">
        <f t="shared" si="103"/>
        <v>22</v>
      </c>
    </row>
    <row r="865" spans="3:18" x14ac:dyDescent="0.25">
      <c r="C865">
        <f t="shared" si="96"/>
        <v>3.6199261786827788</v>
      </c>
      <c r="D865">
        <v>39</v>
      </c>
      <c r="E865" s="25">
        <f t="shared" si="107"/>
        <v>-0.74573458056280506</v>
      </c>
      <c r="F865">
        <f t="shared" si="98"/>
        <v>4.2627099496477902E-2</v>
      </c>
      <c r="G865" t="e">
        <f t="shared" si="99"/>
        <v>#N/A</v>
      </c>
      <c r="H865">
        <f t="shared" si="100"/>
        <v>2.6784653698074631E-2</v>
      </c>
      <c r="I865" t="e">
        <f t="shared" si="101"/>
        <v>#N/A</v>
      </c>
      <c r="K865" s="44">
        <f ca="1">GEV!D72</f>
        <v>1.2757097698986124</v>
      </c>
      <c r="Q865">
        <f t="shared" si="102"/>
        <v>-9.9999900000000002E+307</v>
      </c>
      <c r="R865">
        <f t="shared" si="103"/>
        <v>22</v>
      </c>
    </row>
    <row r="866" spans="3:18" x14ac:dyDescent="0.25">
      <c r="C866">
        <f t="shared" si="96"/>
        <v>3.0683908960760524</v>
      </c>
      <c r="D866">
        <v>40</v>
      </c>
      <c r="E866" s="25">
        <f t="shared" si="107"/>
        <v>-0.37283729235685731</v>
      </c>
      <c r="F866">
        <f t="shared" si="98"/>
        <v>6.3768233564424431E-2</v>
      </c>
      <c r="G866" t="e">
        <f t="shared" si="99"/>
        <v>#N/A</v>
      </c>
      <c r="H866">
        <f t="shared" si="100"/>
        <v>4.649591144929912E-2</v>
      </c>
      <c r="I866" t="e">
        <f t="shared" si="101"/>
        <v>#N/A</v>
      </c>
      <c r="K866" s="44">
        <f ca="1">GEV!D73</f>
        <v>3.8006193239387214</v>
      </c>
      <c r="Q866">
        <f t="shared" si="102"/>
        <v>-9.9999900000000002E+307</v>
      </c>
      <c r="R866">
        <f t="shared" si="103"/>
        <v>22</v>
      </c>
    </row>
    <row r="867" spans="3:18" x14ac:dyDescent="0.25">
      <c r="C867">
        <f t="shared" si="96"/>
        <v>2.593671727431111</v>
      </c>
      <c r="D867">
        <v>41</v>
      </c>
      <c r="E867" s="25">
        <f t="shared" si="107"/>
        <v>5.9995849090443976E-5</v>
      </c>
      <c r="F867">
        <f t="shared" si="98"/>
        <v>8.8120345740022518E-2</v>
      </c>
      <c r="G867">
        <f t="shared" si="99"/>
        <v>8.8120345740022518E-2</v>
      </c>
      <c r="H867">
        <f t="shared" si="100"/>
        <v>7.4745092022329651E-2</v>
      </c>
      <c r="I867">
        <f t="shared" si="101"/>
        <v>7.4745092022329651E-2</v>
      </c>
      <c r="K867" s="44">
        <f ca="1">GEV!D74</f>
        <v>1.5812282095763424</v>
      </c>
      <c r="Q867">
        <f t="shared" si="102"/>
        <v>-9.9999900000000002E+307</v>
      </c>
      <c r="R867">
        <f t="shared" si="103"/>
        <v>22</v>
      </c>
    </row>
    <row r="868" spans="3:18" x14ac:dyDescent="0.25">
      <c r="C868">
        <f t="shared" si="96"/>
        <v>2.1861070440525339</v>
      </c>
      <c r="D868">
        <v>42</v>
      </c>
      <c r="E868" s="25">
        <f t="shared" si="107"/>
        <v>0.3729572840550382</v>
      </c>
      <c r="F868">
        <f t="shared" si="98"/>
        <v>0.11356906740876892</v>
      </c>
      <c r="G868">
        <f t="shared" si="99"/>
        <v>0.11356906740876892</v>
      </c>
      <c r="H868">
        <f t="shared" si="100"/>
        <v>0.11235328474612676</v>
      </c>
      <c r="I868">
        <f t="shared" si="101"/>
        <v>0.11235328474612676</v>
      </c>
      <c r="K868" s="44">
        <f ca="1">GEV!D75</f>
        <v>1.6841484334022132</v>
      </c>
      <c r="Q868">
        <f t="shared" si="102"/>
        <v>-9.9999900000000002E+307</v>
      </c>
      <c r="R868">
        <f t="shared" si="103"/>
        <v>22</v>
      </c>
    </row>
    <row r="869" spans="3:18" x14ac:dyDescent="0.25">
      <c r="C869">
        <f t="shared" si="96"/>
        <v>1.8371157552237916</v>
      </c>
      <c r="D869">
        <v>43</v>
      </c>
      <c r="E869" s="25">
        <f t="shared" si="107"/>
        <v>0.74585457226098595</v>
      </c>
      <c r="F869">
        <f t="shared" si="98"/>
        <v>0.13767137144982763</v>
      </c>
      <c r="G869">
        <f t="shared" si="99"/>
        <v>0.13767137144982763</v>
      </c>
      <c r="H869">
        <f t="shared" si="100"/>
        <v>0.15927615566469663</v>
      </c>
      <c r="I869">
        <f t="shared" si="101"/>
        <v>0.15927615566469663</v>
      </c>
      <c r="K869" s="44">
        <f ca="1">GEV!D76</f>
        <v>0.54135274221248686</v>
      </c>
      <c r="Q869">
        <f t="shared" si="102"/>
        <v>-9.9999900000000002E+307</v>
      </c>
      <c r="R869">
        <f t="shared" si="103"/>
        <v>22</v>
      </c>
    </row>
    <row r="870" spans="3:18" x14ac:dyDescent="0.25">
      <c r="C870">
        <f t="shared" si="96"/>
        <v>1.539092019341912</v>
      </c>
      <c r="D870">
        <v>44</v>
      </c>
      <c r="E870" s="25">
        <f t="shared" si="107"/>
        <v>1.1187518604669338</v>
      </c>
      <c r="F870">
        <f t="shared" si="98"/>
        <v>0.1581571975025306</v>
      </c>
      <c r="G870">
        <f t="shared" si="99"/>
        <v>0.1581571975025306</v>
      </c>
      <c r="H870">
        <f t="shared" si="100"/>
        <v>0.2145758437182709</v>
      </c>
      <c r="I870">
        <f t="shared" si="101"/>
        <v>0.2145758437182709</v>
      </c>
      <c r="K870" s="44">
        <f ca="1">GEV!D77</f>
        <v>2.9367935673733885</v>
      </c>
      <c r="Q870">
        <f t="shared" si="102"/>
        <v>-9.9999900000000002E+307</v>
      </c>
      <c r="R870">
        <f t="shared" si="103"/>
        <v>22</v>
      </c>
    </row>
    <row r="871" spans="3:18" x14ac:dyDescent="0.25">
      <c r="C871">
        <f t="shared" si="96"/>
        <v>1.2853086479170674</v>
      </c>
      <c r="D871">
        <v>45</v>
      </c>
      <c r="E871" s="25">
        <f t="shared" si="107"/>
        <v>1.4916491486728816</v>
      </c>
      <c r="F871">
        <f t="shared" si="98"/>
        <v>0.17333019980544928</v>
      </c>
      <c r="G871">
        <f t="shared" si="99"/>
        <v>0.17333019980544928</v>
      </c>
      <c r="H871">
        <f t="shared" si="100"/>
        <v>0.27656520918158078</v>
      </c>
      <c r="I871">
        <f t="shared" si="101"/>
        <v>0.27656520918158078</v>
      </c>
      <c r="K871" s="44">
        <f ca="1">GEV!D78</f>
        <v>7.6861834295938225</v>
      </c>
      <c r="Q871">
        <f t="shared" si="102"/>
        <v>-9.9999900000000002E+307</v>
      </c>
      <c r="R871">
        <f t="shared" si="103"/>
        <v>22</v>
      </c>
    </row>
    <row r="872" spans="3:18" x14ac:dyDescent="0.25">
      <c r="C872">
        <f t="shared" si="96"/>
        <v>1.0698286184856252</v>
      </c>
      <c r="D872">
        <v>46</v>
      </c>
      <c r="E872" s="25">
        <f t="shared" si="107"/>
        <v>1.8645464368788294</v>
      </c>
      <c r="F872">
        <f t="shared" si="98"/>
        <v>0.18227710777634282</v>
      </c>
      <c r="G872">
        <f t="shared" si="99"/>
        <v>0.18227710777634282</v>
      </c>
      <c r="H872">
        <f t="shared" si="100"/>
        <v>0.34306730777551164</v>
      </c>
      <c r="I872">
        <f t="shared" si="101"/>
        <v>0.34306730777551164</v>
      </c>
      <c r="K872" s="44">
        <f ca="1">GEV!D79</f>
        <v>7.8692971909086555</v>
      </c>
      <c r="Q872">
        <f t="shared" si="102"/>
        <v>-9.9999900000000002E+307</v>
      </c>
      <c r="R872">
        <f t="shared" si="103"/>
        <v>22</v>
      </c>
    </row>
    <row r="873" spans="3:18" x14ac:dyDescent="0.25">
      <c r="C873">
        <f t="shared" si="96"/>
        <v>0.88742414241651624</v>
      </c>
      <c r="D873">
        <v>47</v>
      </c>
      <c r="E873" s="25">
        <f t="shared" si="107"/>
        <v>2.237443725084777</v>
      </c>
      <c r="F873">
        <f t="shared" si="98"/>
        <v>0.18487777754912518</v>
      </c>
      <c r="G873">
        <f t="shared" si="99"/>
        <v>0.18487777754912518</v>
      </c>
      <c r="H873">
        <f t="shared" si="100"/>
        <v>0.41171490701691837</v>
      </c>
      <c r="I873">
        <f t="shared" si="101"/>
        <v>0.41171490701691837</v>
      </c>
      <c r="K873" s="44">
        <f ca="1">GEV!D80</f>
        <v>4.2593878007107726</v>
      </c>
      <c r="Q873">
        <f t="shared" si="102"/>
        <v>-9.9999900000000002E+307</v>
      </c>
      <c r="R873">
        <f t="shared" si="103"/>
        <v>22</v>
      </c>
    </row>
    <row r="874" spans="3:18" x14ac:dyDescent="0.25">
      <c r="C874">
        <f t="shared" si="96"/>
        <v>0.73350276248098378</v>
      </c>
      <c r="D874">
        <v>48</v>
      </c>
      <c r="E874" s="25">
        <f t="shared" si="107"/>
        <v>2.6103410132907245</v>
      </c>
      <c r="F874">
        <f t="shared" si="98"/>
        <v>0.18166672229804423</v>
      </c>
      <c r="G874">
        <f t="shared" si="99"/>
        <v>0.18166672229804423</v>
      </c>
      <c r="H874">
        <f t="shared" si="100"/>
        <v>0.48022393026551308</v>
      </c>
      <c r="I874">
        <f t="shared" si="101"/>
        <v>0.48022393026551308</v>
      </c>
      <c r="K874" s="44">
        <f ca="1">GEV!D81</f>
        <v>-0.12613578743608755</v>
      </c>
      <c r="Q874">
        <f t="shared" si="102"/>
        <v>-9.9999900000000002E+307</v>
      </c>
      <c r="R874">
        <f t="shared" si="103"/>
        <v>22</v>
      </c>
    </row>
    <row r="875" spans="3:18" x14ac:dyDescent="0.25">
      <c r="C875">
        <f t="shared" si="96"/>
        <v>0.60403998292364869</v>
      </c>
      <c r="D875">
        <v>49</v>
      </c>
      <c r="E875" s="25">
        <f t="shared" si="107"/>
        <v>2.9832383014966721</v>
      </c>
      <c r="F875">
        <f t="shared" si="98"/>
        <v>0.17361925600943726</v>
      </c>
      <c r="G875">
        <f t="shared" si="99"/>
        <v>0.17361925600943726</v>
      </c>
      <c r="H875">
        <f t="shared" si="100"/>
        <v>0.54659891913483571</v>
      </c>
      <c r="I875">
        <f t="shared" si="101"/>
        <v>0.54659891913483571</v>
      </c>
      <c r="K875" s="44">
        <f ca="1">GEV!D82</f>
        <v>-1.9595836001896867</v>
      </c>
      <c r="Q875">
        <f t="shared" si="102"/>
        <v>-9.9999900000000002E+307</v>
      </c>
      <c r="R875">
        <f t="shared" si="103"/>
        <v>22</v>
      </c>
    </row>
    <row r="876" spans="3:18" x14ac:dyDescent="0.25">
      <c r="C876">
        <f t="shared" si="96"/>
        <v>0.49551796163679684</v>
      </c>
      <c r="D876">
        <v>50</v>
      </c>
      <c r="E876" s="25">
        <f t="shared" si="107"/>
        <v>3.3561355897026197</v>
      </c>
      <c r="F876">
        <f t="shared" si="98"/>
        <v>0.16192829731260092</v>
      </c>
      <c r="G876">
        <f t="shared" si="99"/>
        <v>0.16192829731260092</v>
      </c>
      <c r="H876">
        <f t="shared" si="100"/>
        <v>0.60925525470644548</v>
      </c>
      <c r="I876">
        <f t="shared" si="101"/>
        <v>0.60925525470644548</v>
      </c>
      <c r="K876" s="44">
        <f ca="1">GEV!D83</f>
        <v>6.2862792299039709</v>
      </c>
      <c r="Q876">
        <f t="shared" si="102"/>
        <v>-9.9999900000000002E+307</v>
      </c>
      <c r="R876">
        <f t="shared" si="103"/>
        <v>22</v>
      </c>
    </row>
    <row r="877" spans="3:18" x14ac:dyDescent="0.25">
      <c r="C877">
        <f t="shared" si="96"/>
        <v>0.40486981991807452</v>
      </c>
      <c r="D877">
        <v>51</v>
      </c>
      <c r="E877" s="25">
        <f t="shared" si="107"/>
        <v>3.7290328779085673</v>
      </c>
      <c r="F877">
        <f t="shared" si="98"/>
        <v>0.14781589581767776</v>
      </c>
      <c r="G877">
        <f t="shared" si="99"/>
        <v>0.14781589581767776</v>
      </c>
      <c r="H877">
        <f t="shared" si="100"/>
        <v>0.66706364360617887</v>
      </c>
      <c r="I877">
        <f t="shared" si="101"/>
        <v>0.66706364360617887</v>
      </c>
      <c r="K877" s="44">
        <f ca="1">GEV!D84</f>
        <v>4.385130125345329</v>
      </c>
      <c r="Q877">
        <f t="shared" si="102"/>
        <v>-9.9999900000000002E+307</v>
      </c>
      <c r="R877">
        <f t="shared" si="103"/>
        <v>22</v>
      </c>
    </row>
    <row r="878" spans="3:18" x14ac:dyDescent="0.25">
      <c r="C878">
        <f t="shared" si="96"/>
        <v>0.32942915020294328</v>
      </c>
      <c r="D878">
        <v>52</v>
      </c>
      <c r="E878" s="25">
        <f t="shared" si="107"/>
        <v>4.1019301661145153</v>
      </c>
      <c r="F878">
        <f t="shared" si="98"/>
        <v>0.13239956724348798</v>
      </c>
      <c r="G878">
        <f t="shared" si="99"/>
        <v>0.13239956724348798</v>
      </c>
      <c r="H878">
        <f t="shared" si="100"/>
        <v>0.71933424805920299</v>
      </c>
      <c r="I878">
        <f t="shared" si="101"/>
        <v>0.71933424805920299</v>
      </c>
      <c r="K878" s="44">
        <f ca="1">GEV!D85</f>
        <v>2.122634939159727</v>
      </c>
      <c r="Q878">
        <f t="shared" si="102"/>
        <v>-9.9999900000000002E+307</v>
      </c>
      <c r="R878">
        <f t="shared" si="103"/>
        <v>22</v>
      </c>
    </row>
    <row r="879" spans="3:18" x14ac:dyDescent="0.25">
      <c r="C879">
        <f t="shared" si="96"/>
        <v>0.26688432612574997</v>
      </c>
      <c r="D879">
        <v>53</v>
      </c>
      <c r="E879" s="25">
        <f t="shared" si="107"/>
        <v>4.4748274543204634</v>
      </c>
      <c r="F879">
        <f t="shared" si="98"/>
        <v>0.11661498912781103</v>
      </c>
      <c r="G879">
        <f t="shared" si="99"/>
        <v>0.11661498912781103</v>
      </c>
      <c r="H879">
        <f t="shared" si="100"/>
        <v>0.76576164495868004</v>
      </c>
      <c r="I879">
        <f t="shared" si="101"/>
        <v>0.76576164495868004</v>
      </c>
      <c r="K879" s="44">
        <f ca="1">GEV!D86</f>
        <v>1.3731075304098832</v>
      </c>
      <c r="Q879">
        <f t="shared" si="102"/>
        <v>-9.9999900000000002E+307</v>
      </c>
      <c r="R879">
        <f t="shared" si="103"/>
        <v>22</v>
      </c>
    </row>
    <row r="880" spans="3:18" x14ac:dyDescent="0.25">
      <c r="C880">
        <f t="shared" si="96"/>
        <v>0.21523724229537478</v>
      </c>
      <c r="D880">
        <v>54</v>
      </c>
      <c r="E880" s="25">
        <f t="shared" si="107"/>
        <v>4.8477247425264114</v>
      </c>
      <c r="F880">
        <f t="shared" si="98"/>
        <v>0.10118574529062607</v>
      </c>
      <c r="G880">
        <f t="shared" si="99"/>
        <v>0.10118574529062607</v>
      </c>
      <c r="H880">
        <f t="shared" si="100"/>
        <v>0.80635011713060112</v>
      </c>
      <c r="I880">
        <f t="shared" si="101"/>
        <v>0.80635011713060112</v>
      </c>
      <c r="K880" s="44">
        <f ca="1">GEV!D87</f>
        <v>0.73739993741007304</v>
      </c>
      <c r="Q880">
        <f t="shared" si="102"/>
        <v>-9.9999900000000002E+307</v>
      </c>
      <c r="R880">
        <f t="shared" si="103"/>
        <v>22</v>
      </c>
    </row>
    <row r="881" spans="3:18" x14ac:dyDescent="0.25">
      <c r="C881">
        <f t="shared" si="96"/>
        <v>0.17276613329172896</v>
      </c>
      <c r="D881">
        <v>55</v>
      </c>
      <c r="E881" s="25">
        <f t="shared" si="107"/>
        <v>5.2206220307323594</v>
      </c>
      <c r="F881">
        <f t="shared" si="98"/>
        <v>8.6626621711109297E-2</v>
      </c>
      <c r="G881" t="e">
        <f t="shared" si="99"/>
        <v>#N/A</v>
      </c>
      <c r="H881">
        <f t="shared" si="100"/>
        <v>0.84133435193404094</v>
      </c>
      <c r="I881" t="e">
        <f t="shared" si="101"/>
        <v>#N/A</v>
      </c>
      <c r="K881" s="44">
        <f ca="1">GEV!D88</f>
        <v>4.3661655445854501</v>
      </c>
      <c r="Q881">
        <f t="shared" si="102"/>
        <v>-9.9999900000000002E+307</v>
      </c>
      <c r="R881">
        <f t="shared" si="103"/>
        <v>22</v>
      </c>
    </row>
    <row r="882" spans="3:18" x14ac:dyDescent="0.25">
      <c r="C882">
        <f t="shared" si="96"/>
        <v>0.13799214261617065</v>
      </c>
      <c r="D882">
        <v>56</v>
      </c>
      <c r="E882" s="25">
        <f t="shared" si="107"/>
        <v>5.5935193189383074</v>
      </c>
      <c r="F882">
        <f t="shared" si="98"/>
        <v>7.3267217838903595E-2</v>
      </c>
      <c r="G882" t="e">
        <f t="shared" si="99"/>
        <v>#N/A</v>
      </c>
      <c r="H882">
        <f t="shared" si="100"/>
        <v>0.87110553632946286</v>
      </c>
      <c r="I882" t="e">
        <f t="shared" si="101"/>
        <v>#N/A</v>
      </c>
      <c r="K882" s="44">
        <f ca="1">GEV!D89</f>
        <v>2.8565720400474119</v>
      </c>
      <c r="Q882">
        <f t="shared" si="102"/>
        <v>-9.9999900000000002E+307</v>
      </c>
      <c r="R882">
        <f t="shared" si="103"/>
        <v>22</v>
      </c>
    </row>
    <row r="883" spans="3:18" x14ac:dyDescent="0.25">
      <c r="C883">
        <f t="shared" si="96"/>
        <v>0.10964933268071389</v>
      </c>
      <c r="D883">
        <v>57</v>
      </c>
      <c r="E883" s="25">
        <f t="shared" si="107"/>
        <v>5.9664166071442555</v>
      </c>
      <c r="F883">
        <f t="shared" si="98"/>
        <v>6.1285156271579697E-2</v>
      </c>
      <c r="G883" t="e">
        <f t="shared" si="99"/>
        <v>#N/A</v>
      </c>
      <c r="H883">
        <f t="shared" si="100"/>
        <v>0.89614833013698925</v>
      </c>
      <c r="I883" t="e">
        <f t="shared" si="101"/>
        <v>#N/A</v>
      </c>
      <c r="K883" s="44">
        <f ca="1">GEV!D90</f>
        <v>0.49690389890179976</v>
      </c>
      <c r="Q883">
        <f t="shared" si="102"/>
        <v>-9.9999900000000002E+307</v>
      </c>
      <c r="R883">
        <f t="shared" si="103"/>
        <v>22</v>
      </c>
    </row>
    <row r="884" spans="3:18" x14ac:dyDescent="0.25">
      <c r="C884">
        <f t="shared" si="96"/>
        <v>8.6657846416065248E-2</v>
      </c>
      <c r="D884">
        <v>58</v>
      </c>
      <c r="E884" s="25">
        <f t="shared" si="107"/>
        <v>6.3393138953502035</v>
      </c>
      <c r="F884">
        <f t="shared" si="98"/>
        <v>5.0741357581699134E-2</v>
      </c>
      <c r="G884" t="e">
        <f t="shared" si="99"/>
        <v>#N/A</v>
      </c>
      <c r="H884">
        <f t="shared" si="100"/>
        <v>0.91699079365012415</v>
      </c>
      <c r="I884" t="e">
        <f t="shared" si="101"/>
        <v>#N/A</v>
      </c>
      <c r="K884" s="44">
        <f ca="1">GEV!D91</f>
        <v>-0.19132564934902074</v>
      </c>
      <c r="Q884">
        <f t="shared" si="102"/>
        <v>-9.9999900000000002E+307</v>
      </c>
      <c r="R884">
        <f t="shared" si="103"/>
        <v>22</v>
      </c>
    </row>
    <row r="885" spans="3:18" x14ac:dyDescent="0.25">
      <c r="C885">
        <f t="shared" si="96"/>
        <v>6.8099949735525134E-2</v>
      </c>
      <c r="D885">
        <v>59</v>
      </c>
      <c r="E885" s="25">
        <f t="shared" si="107"/>
        <v>6.7122111835561515</v>
      </c>
      <c r="F885">
        <f t="shared" si="98"/>
        <v>4.161277556941792E-2</v>
      </c>
      <c r="G885" t="e">
        <f t="shared" si="99"/>
        <v>#N/A</v>
      </c>
      <c r="H885">
        <f t="shared" si="100"/>
        <v>0.93416709915641993</v>
      </c>
      <c r="I885" t="e">
        <f t="shared" si="101"/>
        <v>#N/A</v>
      </c>
      <c r="K885" s="44">
        <f ca="1">GEV!D92</f>
        <v>2.554605662455756</v>
      </c>
      <c r="Q885">
        <f t="shared" si="102"/>
        <v>-9.9999900000000002E+307</v>
      </c>
      <c r="R885">
        <f t="shared" si="103"/>
        <v>22</v>
      </c>
    </row>
    <row r="886" spans="3:18" x14ac:dyDescent="0.25">
      <c r="C886">
        <f t="shared" si="96"/>
        <v>5.3198701929009828E-2</v>
      </c>
      <c r="D886">
        <v>60</v>
      </c>
      <c r="E886" s="25">
        <f t="shared" si="107"/>
        <v>7.0851084717620996</v>
      </c>
      <c r="F886">
        <f t="shared" si="98"/>
        <v>3.3820267129548325E-2</v>
      </c>
      <c r="G886" t="e">
        <f t="shared" si="99"/>
        <v>#N/A</v>
      </c>
      <c r="H886">
        <f t="shared" si="100"/>
        <v>0.94819158626532996</v>
      </c>
      <c r="I886" t="e">
        <f t="shared" si="101"/>
        <v>#N/A</v>
      </c>
      <c r="K886" s="44">
        <f ca="1">GEV!D93</f>
        <v>-1.0377988734378558</v>
      </c>
      <c r="Q886">
        <f t="shared" si="102"/>
        <v>-9.9999900000000002E+307</v>
      </c>
      <c r="R886">
        <f t="shared" si="103"/>
        <v>22</v>
      </c>
    </row>
    <row r="887" spans="3:18" x14ac:dyDescent="0.25">
      <c r="C887">
        <f t="shared" si="96"/>
        <v>4.1299018097331386E-2</v>
      </c>
      <c r="D887">
        <v>61</v>
      </c>
      <c r="E887" s="25">
        <f t="shared" si="107"/>
        <v>7.4580057599680476</v>
      </c>
      <c r="F887">
        <f t="shared" si="98"/>
        <v>2.7250835510149809E-2</v>
      </c>
      <c r="G887" t="e">
        <f t="shared" si="99"/>
        <v>#N/A</v>
      </c>
      <c r="H887">
        <f t="shared" si="100"/>
        <v>0.959542166573358</v>
      </c>
      <c r="I887" t="e">
        <f t="shared" si="101"/>
        <v>#N/A</v>
      </c>
      <c r="K887" s="44">
        <f ca="1">GEV!D94</f>
        <v>5.2377817695806232</v>
      </c>
      <c r="Q887">
        <f t="shared" si="102"/>
        <v>-9.9999900000000002E+307</v>
      </c>
      <c r="R887">
        <f t="shared" si="103"/>
        <v>22</v>
      </c>
    </row>
    <row r="888" spans="3:18" x14ac:dyDescent="0.25">
      <c r="C888">
        <f t="shared" si="96"/>
        <v>3.1850903989843589E-2</v>
      </c>
      <c r="D888">
        <v>62</v>
      </c>
      <c r="E888" s="25">
        <f t="shared" si="107"/>
        <v>7.8309030481739956</v>
      </c>
      <c r="F888">
        <f t="shared" si="98"/>
        <v>2.1774436220271243E-2</v>
      </c>
      <c r="G888" t="e">
        <f t="shared" si="99"/>
        <v>#N/A</v>
      </c>
      <c r="H888">
        <f t="shared" si="100"/>
        <v>0.96865099331169757</v>
      </c>
      <c r="I888" t="e">
        <f t="shared" si="101"/>
        <v>#N/A</v>
      </c>
      <c r="K888" s="44">
        <f ca="1">GEV!D95</f>
        <v>1.8532692731332183</v>
      </c>
      <c r="Q888">
        <f t="shared" si="102"/>
        <v>-9.9999900000000002E+307</v>
      </c>
      <c r="R888">
        <f t="shared" si="103"/>
        <v>22</v>
      </c>
    </row>
    <row r="889" spans="3:18" x14ac:dyDescent="0.25">
      <c r="C889">
        <f t="shared" si="96"/>
        <v>2.4394659097021799E-2</v>
      </c>
      <c r="D889">
        <v>63</v>
      </c>
      <c r="E889" s="25">
        <f t="shared" si="107"/>
        <v>8.2038003363799437</v>
      </c>
      <c r="F889">
        <f t="shared" si="98"/>
        <v>1.7256027197895488E-2</v>
      </c>
      <c r="G889" t="e">
        <f t="shared" si="99"/>
        <v>#N/A</v>
      </c>
      <c r="H889">
        <f t="shared" si="100"/>
        <v>0.97590048574234212</v>
      </c>
      <c r="I889" t="e">
        <f t="shared" si="101"/>
        <v>#N/A</v>
      </c>
      <c r="K889" s="44">
        <f ca="1">GEV!D96</f>
        <v>1.2031828183265496</v>
      </c>
      <c r="Q889">
        <f t="shared" si="102"/>
        <v>-9.9999900000000002E+307</v>
      </c>
      <c r="R889">
        <f t="shared" si="103"/>
        <v>22</v>
      </c>
    </row>
    <row r="890" spans="3:18" x14ac:dyDescent="0.25">
      <c r="C890">
        <f t="shared" si="96"/>
        <v>1.854785859194473E-2</v>
      </c>
      <c r="D890">
        <v>64</v>
      </c>
      <c r="E890" s="25">
        <f t="shared" si="107"/>
        <v>8.5766976245858917</v>
      </c>
      <c r="F890">
        <f t="shared" si="98"/>
        <v>1.3563731066865797E-2</v>
      </c>
      <c r="G890" t="e">
        <f t="shared" si="99"/>
        <v>#N/A</v>
      </c>
      <c r="H890">
        <f t="shared" si="100"/>
        <v>0.98162309436847983</v>
      </c>
      <c r="I890" t="e">
        <f t="shared" si="101"/>
        <v>#N/A</v>
      </c>
      <c r="K890" s="44">
        <f ca="1">GEV!D97</f>
        <v>3.3097699142363628</v>
      </c>
      <c r="Q890">
        <f t="shared" si="102"/>
        <v>-9.9999900000000002E+307</v>
      </c>
      <c r="R890">
        <f t="shared" si="103"/>
        <v>22</v>
      </c>
    </row>
    <row r="891" spans="3:18" x14ac:dyDescent="0.25">
      <c r="C891">
        <f t="shared" si="96"/>
        <v>1.3993938729387242E-2</v>
      </c>
      <c r="D891">
        <v>65</v>
      </c>
      <c r="E891" s="25">
        <f t="shared" si="107"/>
        <v>8.9495949127918397</v>
      </c>
      <c r="F891">
        <f t="shared" si="98"/>
        <v>1.0573980014782805E-2</v>
      </c>
      <c r="G891" t="e">
        <f t="shared" si="99"/>
        <v>#N/A</v>
      </c>
      <c r="H891">
        <f t="shared" si="100"/>
        <v>0.98610352128504242</v>
      </c>
      <c r="I891" t="e">
        <f t="shared" si="101"/>
        <v>#N/A</v>
      </c>
      <c r="K891" s="44">
        <f ca="1">GEV!D98</f>
        <v>0.95965387146017367</v>
      </c>
      <c r="Q891">
        <f t="shared" si="102"/>
        <v>-9.9999900000000002E+307</v>
      </c>
      <c r="R891">
        <f t="shared" si="103"/>
        <v>22</v>
      </c>
    </row>
    <row r="892" spans="3:18" x14ac:dyDescent="0.25">
      <c r="C892">
        <f t="shared" ref="C892:C926" si="108">IF($B$835=0,EXP(-(E892-$B$833)/$B$834),(1+$B$835*((E892-$B$833)/$B$834))^(-1/$B$835))</f>
        <v>1.0472223616749165E-2</v>
      </c>
      <c r="D892">
        <v>66</v>
      </c>
      <c r="E892" s="25">
        <f t="shared" ref="E892:E926" si="109">($B$832-$B$831)/99+E891</f>
        <v>9.3224922009977877</v>
      </c>
      <c r="F892">
        <f t="shared" ref="F892:F926" si="110">(1/$B$834)*C892^($B$835+1)*EXP(-C892)</f>
        <v>8.1744208289516677E-3</v>
      </c>
      <c r="G892" t="e">
        <f t="shared" ref="G892:G926" si="111">IF(OR($E892&gt;$B$830,$E892&lt;$B$829),NA(),$F892)</f>
        <v>#N/A</v>
      </c>
      <c r="H892">
        <f t="shared" ref="H892:H926" si="112">EXP(-C892)</f>
        <v>0.98958241920669188</v>
      </c>
      <c r="I892" t="e">
        <f t="shared" ref="I892:I926" si="113">IF(OR($E892&gt;$B$830,$E892&lt;$B$829),NA(),$H892)</f>
        <v>#N/A</v>
      </c>
      <c r="K892" s="44">
        <f ca="1">GEV!D99</f>
        <v>4.0118345445310304</v>
      </c>
      <c r="Q892">
        <f t="shared" ref="Q892:Q922" si="114">IF($B$835&gt;0, $B$833-($B$834/$B$835),-9.99999E+307)</f>
        <v>-9.9999900000000002E+307</v>
      </c>
      <c r="R892">
        <f t="shared" ref="R892:R922" si="115">IF($B$835&gt;0,9.99999E+307, IF($B$835=0,9.99999E+307,$B$833-($B$834/$B$835)))</f>
        <v>22</v>
      </c>
    </row>
    <row r="893" spans="3:18" x14ac:dyDescent="0.25">
      <c r="C893">
        <f t="shared" si="108"/>
        <v>7.7692438857564034E-3</v>
      </c>
      <c r="D893">
        <v>67</v>
      </c>
      <c r="E893" s="25">
        <f t="shared" si="109"/>
        <v>9.6953894892037358</v>
      </c>
      <c r="F893">
        <f t="shared" si="110"/>
        <v>6.2652260326474842E-3</v>
      </c>
      <c r="G893" t="e">
        <f t="shared" si="111"/>
        <v>#N/A</v>
      </c>
      <c r="H893">
        <f t="shared" si="112"/>
        <v>0.9922608586810141</v>
      </c>
      <c r="I893" t="e">
        <f t="shared" si="113"/>
        <v>#N/A</v>
      </c>
      <c r="K893" s="44">
        <f ca="1">GEV!D100</f>
        <v>5.3325711000047642</v>
      </c>
      <c r="Q893">
        <f t="shared" si="114"/>
        <v>-9.9999900000000002E+307</v>
      </c>
      <c r="R893">
        <f t="shared" si="115"/>
        <v>22</v>
      </c>
    </row>
    <row r="894" spans="3:18" x14ac:dyDescent="0.25">
      <c r="C894">
        <f t="shared" si="108"/>
        <v>5.7112097361980176E-3</v>
      </c>
      <c r="D894">
        <v>68</v>
      </c>
      <c r="E894" s="25">
        <f t="shared" si="109"/>
        <v>10.068286777409684</v>
      </c>
      <c r="F894">
        <f t="shared" si="110"/>
        <v>4.7593205438501247E-3</v>
      </c>
      <c r="G894" t="e">
        <f t="shared" si="111"/>
        <v>#N/A</v>
      </c>
      <c r="H894">
        <f t="shared" si="112"/>
        <v>0.99430506821844666</v>
      </c>
      <c r="I894" t="e">
        <f t="shared" si="113"/>
        <v>#N/A</v>
      </c>
      <c r="K894" s="44">
        <f ca="1">GEV!D101</f>
        <v>9.7846278836442213</v>
      </c>
      <c r="Q894">
        <f t="shared" si="114"/>
        <v>-9.9999900000000002E+307</v>
      </c>
      <c r="R894">
        <f t="shared" si="115"/>
        <v>22</v>
      </c>
    </row>
    <row r="895" spans="3:18" x14ac:dyDescent="0.25">
      <c r="C895">
        <f t="shared" si="108"/>
        <v>4.1575121113327724E-3</v>
      </c>
      <c r="D895">
        <v>69</v>
      </c>
      <c r="E895" s="25">
        <f t="shared" si="109"/>
        <v>10.441184065615632</v>
      </c>
      <c r="F895">
        <f t="shared" si="110"/>
        <v>3.5819093488830213E-3</v>
      </c>
      <c r="G895" t="e">
        <f t="shared" si="111"/>
        <v>#N/A</v>
      </c>
      <c r="H895">
        <f t="shared" si="112"/>
        <v>0.99585111837754847</v>
      </c>
      <c r="I895" t="e">
        <f t="shared" si="113"/>
        <v>#N/A</v>
      </c>
      <c r="K895" s="44">
        <f ca="1">GEV!D102</f>
        <v>-0.44139870297323647</v>
      </c>
      <c r="Q895">
        <f t="shared" si="114"/>
        <v>-9.9999900000000002E+307</v>
      </c>
      <c r="R895">
        <f t="shared" si="115"/>
        <v>22</v>
      </c>
    </row>
    <row r="896" spans="3:18" x14ac:dyDescent="0.25">
      <c r="C896">
        <f t="shared" si="108"/>
        <v>2.9951364174298258E-3</v>
      </c>
      <c r="D896">
        <v>70</v>
      </c>
      <c r="E896" s="25">
        <f t="shared" si="109"/>
        <v>10.81408135382158</v>
      </c>
      <c r="F896">
        <f t="shared" si="110"/>
        <v>2.669587622413476E-3</v>
      </c>
      <c r="G896" t="e">
        <f t="shared" si="111"/>
        <v>#N/A</v>
      </c>
      <c r="H896">
        <f t="shared" si="112"/>
        <v>0.99700934452885148</v>
      </c>
      <c r="I896" t="e">
        <f t="shared" si="113"/>
        <v>#N/A</v>
      </c>
      <c r="K896" s="44">
        <f ca="1">GEV!D103</f>
        <v>4.8472981320742257</v>
      </c>
      <c r="Q896">
        <f t="shared" si="114"/>
        <v>-9.9999900000000002E+307</v>
      </c>
      <c r="R896">
        <f t="shared" si="115"/>
        <v>22</v>
      </c>
    </row>
    <row r="897" spans="3:18" x14ac:dyDescent="0.25">
      <c r="C897">
        <f t="shared" si="108"/>
        <v>2.1338832356268015E-3</v>
      </c>
      <c r="D897">
        <v>71</v>
      </c>
      <c r="E897" s="25">
        <f t="shared" si="109"/>
        <v>11.186978642027528</v>
      </c>
      <c r="F897">
        <f t="shared" si="110"/>
        <v>1.9692318754306491E-3</v>
      </c>
      <c r="G897" t="e">
        <f t="shared" si="111"/>
        <v>#N/A</v>
      </c>
      <c r="H897">
        <f t="shared" si="112"/>
        <v>0.99786839187464393</v>
      </c>
      <c r="I897" t="e">
        <f t="shared" si="113"/>
        <v>#N/A</v>
      </c>
      <c r="K897" s="44">
        <f ca="1">GEV!D104</f>
        <v>1.0120011355889984</v>
      </c>
      <c r="Q897">
        <f t="shared" si="114"/>
        <v>-9.9999900000000002E+307</v>
      </c>
      <c r="R897">
        <f t="shared" si="115"/>
        <v>22</v>
      </c>
    </row>
    <row r="898" spans="3:18" x14ac:dyDescent="0.25">
      <c r="C898">
        <f t="shared" si="108"/>
        <v>1.5022999113151684E-3</v>
      </c>
      <c r="D898">
        <v>72</v>
      </c>
      <c r="E898" s="25">
        <f t="shared" si="109"/>
        <v>11.559875930233476</v>
      </c>
      <c r="F898">
        <f t="shared" si="110"/>
        <v>1.436807350844699E-3</v>
      </c>
      <c r="G898" t="e">
        <f t="shared" si="111"/>
        <v>#N/A</v>
      </c>
      <c r="H898">
        <f t="shared" si="112"/>
        <v>0.99849882797631739</v>
      </c>
      <c r="I898" t="e">
        <f t="shared" si="113"/>
        <v>#N/A</v>
      </c>
      <c r="K898" s="44">
        <f ca="1">GEV!D105</f>
        <v>6.7222706651808828</v>
      </c>
      <c r="Q898">
        <f t="shared" si="114"/>
        <v>-9.9999900000000002E+307</v>
      </c>
      <c r="R898">
        <f t="shared" si="115"/>
        <v>22</v>
      </c>
    </row>
    <row r="899" spans="3:18" x14ac:dyDescent="0.25">
      <c r="C899">
        <f t="shared" si="108"/>
        <v>1.0442357630214419E-3</v>
      </c>
      <c r="D899">
        <v>73</v>
      </c>
      <c r="E899" s="25">
        <f t="shared" si="109"/>
        <v>11.932773218439424</v>
      </c>
      <c r="F899">
        <f t="shared" si="110"/>
        <v>1.0361799991804429E-3</v>
      </c>
      <c r="G899" t="e">
        <f t="shared" si="111"/>
        <v>#N/A</v>
      </c>
      <c r="H899">
        <f t="shared" si="112"/>
        <v>0.9989563092614151</v>
      </c>
      <c r="I899" t="e">
        <f t="shared" si="113"/>
        <v>#N/A</v>
      </c>
      <c r="K899" s="44">
        <f ca="1">GEV!D106</f>
        <v>-0.93146665134551121</v>
      </c>
      <c r="Q899">
        <f t="shared" si="114"/>
        <v>-9.9999900000000002E+307</v>
      </c>
      <c r="R899">
        <f t="shared" si="115"/>
        <v>22</v>
      </c>
    </row>
    <row r="900" spans="3:18" x14ac:dyDescent="0.25">
      <c r="C900">
        <f t="shared" si="108"/>
        <v>7.1594194766574806E-4</v>
      </c>
      <c r="D900">
        <v>74</v>
      </c>
      <c r="E900" s="25">
        <f t="shared" si="109"/>
        <v>12.305670506645372</v>
      </c>
      <c r="F900">
        <f t="shared" si="110"/>
        <v>7.3798766456841609E-4</v>
      </c>
      <c r="G900" t="e">
        <f t="shared" si="111"/>
        <v>#N/A</v>
      </c>
      <c r="H900">
        <f t="shared" si="112"/>
        <v>0.99928431427761932</v>
      </c>
      <c r="I900" t="e">
        <f t="shared" si="113"/>
        <v>#N/A</v>
      </c>
      <c r="K900" s="44">
        <f ca="1">GEV!D107</f>
        <v>0.94707612713528277</v>
      </c>
      <c r="Q900">
        <f t="shared" si="114"/>
        <v>-9.9999900000000002E+307</v>
      </c>
      <c r="R900">
        <f t="shared" si="115"/>
        <v>22</v>
      </c>
    </row>
    <row r="901" spans="3:18" x14ac:dyDescent="0.25">
      <c r="C901">
        <f t="shared" si="108"/>
        <v>4.8364477056929021E-4</v>
      </c>
      <c r="D901">
        <v>75</v>
      </c>
      <c r="E901" s="25">
        <f t="shared" si="109"/>
        <v>12.67856779485132</v>
      </c>
      <c r="F901">
        <f t="shared" si="110"/>
        <v>5.1860154558039221E-4</v>
      </c>
      <c r="G901" t="e">
        <f t="shared" si="111"/>
        <v>#N/A</v>
      </c>
      <c r="H901">
        <f t="shared" si="112"/>
        <v>0.99951647216670991</v>
      </c>
      <c r="I901" t="e">
        <f t="shared" si="113"/>
        <v>#N/A</v>
      </c>
      <c r="K901" s="44">
        <f ca="1">GEV!D108</f>
        <v>0.37424829591228104</v>
      </c>
      <c r="Q901">
        <f t="shared" si="114"/>
        <v>-9.9999900000000002E+307</v>
      </c>
      <c r="R901">
        <f t="shared" si="115"/>
        <v>22</v>
      </c>
    </row>
    <row r="902" spans="3:18" x14ac:dyDescent="0.25">
      <c r="C902">
        <f t="shared" si="108"/>
        <v>3.2152845507246318E-4</v>
      </c>
      <c r="D902">
        <v>76</v>
      </c>
      <c r="E902" s="25">
        <f t="shared" si="109"/>
        <v>13.051465083057268</v>
      </c>
      <c r="F902">
        <f t="shared" si="110"/>
        <v>3.5919297865685633E-4</v>
      </c>
      <c r="G902" t="e">
        <f t="shared" si="111"/>
        <v>#N/A</v>
      </c>
      <c r="H902">
        <f t="shared" si="112"/>
        <v>0.99967852322966178</v>
      </c>
      <c r="I902" t="e">
        <f t="shared" si="113"/>
        <v>#N/A</v>
      </c>
      <c r="K902" s="44">
        <f ca="1">GEV!D109</f>
        <v>2.3460392515233024</v>
      </c>
      <c r="Q902">
        <f t="shared" si="114"/>
        <v>-9.9999900000000002E+307</v>
      </c>
      <c r="R902">
        <f t="shared" si="115"/>
        <v>22</v>
      </c>
    </row>
    <row r="903" spans="3:18" x14ac:dyDescent="0.25">
      <c r="C903">
        <f t="shared" si="108"/>
        <v>2.1007010653817143E-4</v>
      </c>
      <c r="D903">
        <v>77</v>
      </c>
      <c r="E903" s="25">
        <f t="shared" si="109"/>
        <v>13.424362371263216</v>
      </c>
      <c r="F903">
        <f t="shared" si="110"/>
        <v>2.449100472943634E-4</v>
      </c>
      <c r="G903" t="e">
        <f t="shared" si="111"/>
        <v>#N/A</v>
      </c>
      <c r="H903">
        <f t="shared" si="112"/>
        <v>0.99978995195664166</v>
      </c>
      <c r="I903" t="e">
        <f t="shared" si="113"/>
        <v>#N/A</v>
      </c>
      <c r="K903" s="44">
        <f ca="1">GEV!D110</f>
        <v>1.7822119667896734</v>
      </c>
      <c r="Q903">
        <f t="shared" si="114"/>
        <v>-9.9999900000000002E+307</v>
      </c>
      <c r="R903">
        <f t="shared" si="115"/>
        <v>22</v>
      </c>
    </row>
    <row r="904" spans="3:18" x14ac:dyDescent="0.25">
      <c r="C904">
        <f t="shared" si="108"/>
        <v>1.3467583727340095E-4</v>
      </c>
      <c r="D904">
        <v>78</v>
      </c>
      <c r="E904" s="25">
        <f t="shared" si="109"/>
        <v>13.797259659469164</v>
      </c>
      <c r="F904">
        <f t="shared" si="110"/>
        <v>1.6416184753305688E-4</v>
      </c>
      <c r="G904" t="e">
        <f t="shared" si="111"/>
        <v>#N/A</v>
      </c>
      <c r="H904">
        <f t="shared" si="112"/>
        <v>0.99986533323111004</v>
      </c>
      <c r="I904" t="e">
        <f t="shared" si="113"/>
        <v>#N/A</v>
      </c>
      <c r="K904" s="44">
        <f ca="1">GEV!D111</f>
        <v>1.2703880908308145</v>
      </c>
      <c r="Q904">
        <f t="shared" si="114"/>
        <v>-9.9999900000000002E+307</v>
      </c>
      <c r="R904">
        <f t="shared" si="115"/>
        <v>22</v>
      </c>
    </row>
    <row r="905" spans="3:18" x14ac:dyDescent="0.25">
      <c r="C905">
        <f t="shared" si="108"/>
        <v>8.457278092880356E-5</v>
      </c>
      <c r="D905">
        <v>79</v>
      </c>
      <c r="E905" s="25">
        <f t="shared" si="109"/>
        <v>14.170156947675112</v>
      </c>
      <c r="F905">
        <f t="shared" si="110"/>
        <v>1.0800424492655298E-4</v>
      </c>
      <c r="G905" t="e">
        <f t="shared" si="111"/>
        <v>#N/A</v>
      </c>
      <c r="H905">
        <f t="shared" si="112"/>
        <v>0.99991543079524803</v>
      </c>
      <c r="I905" t="e">
        <f t="shared" si="113"/>
        <v>#N/A</v>
      </c>
      <c r="K905" s="44">
        <f ca="1">GEV!D112</f>
        <v>0.97570904370963873</v>
      </c>
      <c r="Q905">
        <f t="shared" si="114"/>
        <v>-9.9999900000000002E+307</v>
      </c>
      <c r="R905">
        <f t="shared" si="115"/>
        <v>22</v>
      </c>
    </row>
    <row r="906" spans="3:18" x14ac:dyDescent="0.25">
      <c r="C906">
        <f t="shared" si="108"/>
        <v>5.1917035654003294E-5</v>
      </c>
      <c r="D906">
        <v>80</v>
      </c>
      <c r="E906" s="25">
        <f t="shared" si="109"/>
        <v>14.54305423588106</v>
      </c>
      <c r="F906">
        <f t="shared" si="110"/>
        <v>6.9618771528657907E-5</v>
      </c>
      <c r="G906" t="e">
        <f t="shared" si="111"/>
        <v>#N/A</v>
      </c>
      <c r="H906">
        <f t="shared" si="112"/>
        <v>0.99994808431201199</v>
      </c>
      <c r="I906" t="e">
        <f t="shared" si="113"/>
        <v>#N/A</v>
      </c>
      <c r="K906" s="44">
        <f ca="1">GEV!D113</f>
        <v>2.0336884600487286</v>
      </c>
      <c r="Q906">
        <f t="shared" si="114"/>
        <v>-9.9999900000000002E+307</v>
      </c>
      <c r="R906">
        <f t="shared" si="115"/>
        <v>22</v>
      </c>
    </row>
    <row r="907" spans="3:18" x14ac:dyDescent="0.25">
      <c r="C907">
        <f t="shared" si="108"/>
        <v>3.1082453118105094E-5</v>
      </c>
      <c r="D907">
        <v>81</v>
      </c>
      <c r="E907" s="25">
        <f t="shared" si="109"/>
        <v>14.915951524087008</v>
      </c>
      <c r="F907">
        <f t="shared" si="110"/>
        <v>4.3875316663783773E-5</v>
      </c>
      <c r="G907" t="e">
        <f t="shared" si="111"/>
        <v>#N/A</v>
      </c>
      <c r="H907">
        <f t="shared" si="112"/>
        <v>0.99996891802993637</v>
      </c>
      <c r="I907" t="e">
        <f t="shared" si="113"/>
        <v>#N/A</v>
      </c>
      <c r="K907" s="44">
        <f ca="1">GEV!D114</f>
        <v>3.8224050453877161</v>
      </c>
      <c r="Q907">
        <f t="shared" si="114"/>
        <v>-9.9999900000000002E+307</v>
      </c>
      <c r="R907">
        <f t="shared" si="115"/>
        <v>22</v>
      </c>
    </row>
    <row r="908" spans="3:18" x14ac:dyDescent="0.25">
      <c r="C908">
        <f t="shared" si="108"/>
        <v>1.8099653873422049E-5</v>
      </c>
      <c r="D908">
        <v>82</v>
      </c>
      <c r="E908" s="25">
        <f t="shared" si="109"/>
        <v>15.288848812292956</v>
      </c>
      <c r="F908">
        <f t="shared" si="110"/>
        <v>2.6969033736073954E-5</v>
      </c>
      <c r="G908" t="e">
        <f t="shared" si="111"/>
        <v>#N/A</v>
      </c>
      <c r="H908">
        <f t="shared" si="112"/>
        <v>0.9999819005099243</v>
      </c>
      <c r="I908" t="e">
        <f t="shared" si="113"/>
        <v>#N/A</v>
      </c>
      <c r="K908" s="44">
        <f ca="1">GEV!D115</f>
        <v>0.72549816854405247</v>
      </c>
      <c r="Q908">
        <f t="shared" si="114"/>
        <v>-9.9999900000000002E+307</v>
      </c>
      <c r="R908">
        <f t="shared" si="115"/>
        <v>22</v>
      </c>
    </row>
    <row r="909" spans="3:18" x14ac:dyDescent="0.25">
      <c r="C909">
        <f t="shared" si="108"/>
        <v>1.0218716868428289E-5</v>
      </c>
      <c r="D909">
        <v>83</v>
      </c>
      <c r="E909" s="25">
        <f t="shared" si="109"/>
        <v>15.661746100498904</v>
      </c>
      <c r="F909">
        <f t="shared" si="110"/>
        <v>1.6122125444661863E-5</v>
      </c>
      <c r="G909" t="e">
        <f t="shared" si="111"/>
        <v>#N/A</v>
      </c>
      <c r="H909">
        <f t="shared" si="112"/>
        <v>0.99998978133534244</v>
      </c>
      <c r="I909" t="e">
        <f t="shared" si="113"/>
        <v>#N/A</v>
      </c>
      <c r="K909" s="44">
        <f ca="1">GEV!D116</f>
        <v>3.1990351335398253</v>
      </c>
      <c r="Q909">
        <f t="shared" si="114"/>
        <v>-9.9999900000000002E+307</v>
      </c>
      <c r="R909">
        <f t="shared" si="115"/>
        <v>22</v>
      </c>
    </row>
    <row r="910" spans="3:18" x14ac:dyDescent="0.25">
      <c r="C910">
        <f t="shared" si="108"/>
        <v>5.5726806262163913E-6</v>
      </c>
      <c r="D910">
        <v>84</v>
      </c>
      <c r="E910" s="25">
        <f t="shared" si="109"/>
        <v>16.034643388704851</v>
      </c>
      <c r="F910">
        <f t="shared" si="110"/>
        <v>9.3416872362366065E-6</v>
      </c>
      <c r="G910" t="e">
        <f t="shared" si="111"/>
        <v>#N/A</v>
      </c>
      <c r="H910">
        <f t="shared" si="112"/>
        <v>0.99999442733490118</v>
      </c>
      <c r="I910" t="e">
        <f t="shared" si="113"/>
        <v>#N/A</v>
      </c>
      <c r="K910" s="44">
        <f ca="1">GEV!D117</f>
        <v>3.0099653089597616</v>
      </c>
      <c r="Q910">
        <f t="shared" si="114"/>
        <v>-9.9999900000000002E+307</v>
      </c>
      <c r="R910">
        <f t="shared" si="115"/>
        <v>22</v>
      </c>
    </row>
    <row r="911" spans="3:18" x14ac:dyDescent="0.25">
      <c r="C911">
        <f t="shared" si="108"/>
        <v>2.9223241200773203E-6</v>
      </c>
      <c r="D911">
        <v>85</v>
      </c>
      <c r="E911" s="25">
        <f t="shared" si="109"/>
        <v>16.407540676910799</v>
      </c>
      <c r="F911">
        <f t="shared" si="110"/>
        <v>5.2254570150315992E-6</v>
      </c>
      <c r="G911" t="e">
        <f t="shared" si="111"/>
        <v>#N/A</v>
      </c>
      <c r="H911">
        <f t="shared" si="112"/>
        <v>0.99999707768014989</v>
      </c>
      <c r="I911" t="e">
        <f t="shared" si="113"/>
        <v>#N/A</v>
      </c>
      <c r="K911" s="44">
        <f ca="1">GEV!D118</f>
        <v>0.91905519384932788</v>
      </c>
      <c r="Q911">
        <f t="shared" si="114"/>
        <v>-9.9999900000000002E+307</v>
      </c>
      <c r="R911">
        <f t="shared" si="115"/>
        <v>22</v>
      </c>
    </row>
    <row r="912" spans="3:18" x14ac:dyDescent="0.25">
      <c r="C912">
        <f t="shared" si="108"/>
        <v>1.465685121001363E-6</v>
      </c>
      <c r="D912">
        <v>86</v>
      </c>
      <c r="E912" s="25">
        <f t="shared" si="109"/>
        <v>16.780437965116747</v>
      </c>
      <c r="F912">
        <f t="shared" si="110"/>
        <v>2.8080573867589784E-6</v>
      </c>
      <c r="G912" t="e">
        <f t="shared" si="111"/>
        <v>#N/A</v>
      </c>
      <c r="H912">
        <f t="shared" si="112"/>
        <v>0.99999853431595309</v>
      </c>
      <c r="I912" t="e">
        <f t="shared" si="113"/>
        <v>#N/A</v>
      </c>
      <c r="K912" s="44">
        <f ca="1">GEV!D119</f>
        <v>-0.74175767510709711</v>
      </c>
      <c r="Q912">
        <f t="shared" si="114"/>
        <v>-9.9999900000000002E+307</v>
      </c>
      <c r="R912">
        <f t="shared" si="115"/>
        <v>22</v>
      </c>
    </row>
    <row r="913" spans="3:18" x14ac:dyDescent="0.25">
      <c r="C913">
        <f t="shared" si="108"/>
        <v>6.9844118571522865E-7</v>
      </c>
      <c r="D913">
        <v>87</v>
      </c>
      <c r="E913" s="25">
        <f t="shared" si="109"/>
        <v>17.153335253322695</v>
      </c>
      <c r="F913">
        <f t="shared" si="110"/>
        <v>1.4410749131640148E-6</v>
      </c>
      <c r="G913" t="e">
        <f t="shared" si="111"/>
        <v>#N/A</v>
      </c>
      <c r="H913">
        <f t="shared" si="112"/>
        <v>0.99999930155905814</v>
      </c>
      <c r="I913" t="e">
        <f t="shared" si="113"/>
        <v>#N/A</v>
      </c>
      <c r="K913" s="44">
        <f ca="1">GEV!D120</f>
        <v>-0.17607492608685504</v>
      </c>
      <c r="Q913">
        <f t="shared" si="114"/>
        <v>-9.9999900000000002E+307</v>
      </c>
      <c r="R913">
        <f t="shared" si="115"/>
        <v>22</v>
      </c>
    </row>
    <row r="914" spans="3:18" x14ac:dyDescent="0.25">
      <c r="C914">
        <f t="shared" si="108"/>
        <v>3.1364192111143494E-7</v>
      </c>
      <c r="D914">
        <v>88</v>
      </c>
      <c r="E914" s="25">
        <f t="shared" si="109"/>
        <v>17.526232541528643</v>
      </c>
      <c r="F914">
        <f t="shared" si="110"/>
        <v>7.0106867567802386E-7</v>
      </c>
      <c r="G914" t="e">
        <f t="shared" si="111"/>
        <v>#N/A</v>
      </c>
      <c r="H914">
        <f t="shared" si="112"/>
        <v>0.99999968635812808</v>
      </c>
      <c r="I914" t="e">
        <f t="shared" si="113"/>
        <v>#N/A</v>
      </c>
      <c r="K914" s="44">
        <f ca="1">GEV!D121</f>
        <v>3.1892907691130006</v>
      </c>
      <c r="Q914">
        <f t="shared" si="114"/>
        <v>-9.9999900000000002E+307</v>
      </c>
      <c r="R914">
        <f t="shared" si="115"/>
        <v>22</v>
      </c>
    </row>
    <row r="915" spans="3:18" x14ac:dyDescent="0.25">
      <c r="C915">
        <f t="shared" si="108"/>
        <v>1.3135912437238123E-7</v>
      </c>
      <c r="D915">
        <v>89</v>
      </c>
      <c r="E915" s="25">
        <f t="shared" si="109"/>
        <v>17.899129829734591</v>
      </c>
      <c r="F915">
        <f t="shared" si="110"/>
        <v>3.2032008247815701E-7</v>
      </c>
      <c r="G915" t="e">
        <f t="shared" si="111"/>
        <v>#N/A</v>
      </c>
      <c r="H915">
        <f t="shared" si="112"/>
        <v>0.9999998686408843</v>
      </c>
      <c r="I915" t="e">
        <f t="shared" si="113"/>
        <v>#N/A</v>
      </c>
      <c r="K915" s="44">
        <f ca="1">GEV!D122</f>
        <v>0.52525847613760046</v>
      </c>
      <c r="Q915">
        <f t="shared" si="114"/>
        <v>-9.9999900000000002E+307</v>
      </c>
      <c r="R915">
        <f t="shared" si="115"/>
        <v>22</v>
      </c>
    </row>
    <row r="916" spans="3:18" x14ac:dyDescent="0.25">
      <c r="C916">
        <f t="shared" si="108"/>
        <v>5.0632280534743463E-8</v>
      </c>
      <c r="D916">
        <v>90</v>
      </c>
      <c r="E916" s="25">
        <f t="shared" si="109"/>
        <v>18.272027117940539</v>
      </c>
      <c r="F916">
        <f t="shared" si="110"/>
        <v>1.3581718422571949E-7</v>
      </c>
      <c r="G916" t="e">
        <f t="shared" si="111"/>
        <v>#N/A</v>
      </c>
      <c r="H916">
        <f t="shared" si="112"/>
        <v>0.99999994936772074</v>
      </c>
      <c r="I916" t="e">
        <f t="shared" si="113"/>
        <v>#N/A</v>
      </c>
      <c r="K916" s="44">
        <f ca="1">GEV!D123</f>
        <v>5.5230999276320869</v>
      </c>
      <c r="Q916">
        <f t="shared" si="114"/>
        <v>-9.9999900000000002E+307</v>
      </c>
      <c r="R916">
        <f t="shared" si="115"/>
        <v>22</v>
      </c>
    </row>
    <row r="917" spans="3:18" x14ac:dyDescent="0.25">
      <c r="C917">
        <f t="shared" si="108"/>
        <v>1.7649123464968077E-8</v>
      </c>
      <c r="D917">
        <v>91</v>
      </c>
      <c r="E917" s="25">
        <f t="shared" si="109"/>
        <v>18.644924406146487</v>
      </c>
      <c r="F917">
        <f t="shared" si="110"/>
        <v>5.2604248875374609E-8</v>
      </c>
      <c r="G917" t="e">
        <f t="shared" si="111"/>
        <v>#N/A</v>
      </c>
      <c r="H917">
        <f t="shared" si="112"/>
        <v>0.99999998235087673</v>
      </c>
      <c r="I917" t="e">
        <f t="shared" si="113"/>
        <v>#N/A</v>
      </c>
      <c r="K917" s="44">
        <f ca="1">GEV!D124</f>
        <v>5.3562144446637365</v>
      </c>
      <c r="Q917">
        <f t="shared" si="114"/>
        <v>-9.9999900000000002E+307</v>
      </c>
      <c r="R917">
        <f t="shared" si="115"/>
        <v>22</v>
      </c>
    </row>
    <row r="918" spans="3:18" x14ac:dyDescent="0.25">
      <c r="C918">
        <f t="shared" si="108"/>
        <v>5.4329550105130978E-9</v>
      </c>
      <c r="D918">
        <v>92</v>
      </c>
      <c r="E918" s="25">
        <f t="shared" si="109"/>
        <v>19.017821694352435</v>
      </c>
      <c r="F918">
        <f t="shared" si="110"/>
        <v>1.8218075594968034E-8</v>
      </c>
      <c r="G918" t="e">
        <f t="shared" si="111"/>
        <v>#N/A</v>
      </c>
      <c r="H918">
        <f t="shared" si="112"/>
        <v>0.99999999456704503</v>
      </c>
      <c r="I918" t="e">
        <f t="shared" si="113"/>
        <v>#N/A</v>
      </c>
      <c r="K918" s="44">
        <f ca="1">GEV!D125</f>
        <v>5.3516765342583676</v>
      </c>
      <c r="Q918">
        <f t="shared" si="114"/>
        <v>-9.9999900000000002E+307</v>
      </c>
      <c r="R918">
        <f t="shared" si="115"/>
        <v>22</v>
      </c>
    </row>
    <row r="919" spans="3:18" x14ac:dyDescent="0.25">
      <c r="C919">
        <f t="shared" si="108"/>
        <v>1.4285932414142289E-9</v>
      </c>
      <c r="D919">
        <v>93</v>
      </c>
      <c r="E919" s="25">
        <f t="shared" si="109"/>
        <v>19.390718982558383</v>
      </c>
      <c r="F919">
        <f t="shared" si="110"/>
        <v>5.4750455386904846E-9</v>
      </c>
      <c r="G919" t="e">
        <f t="shared" si="111"/>
        <v>#N/A</v>
      </c>
      <c r="H919">
        <f t="shared" si="112"/>
        <v>0.99999999857140676</v>
      </c>
      <c r="I919" t="e">
        <f t="shared" si="113"/>
        <v>#N/A</v>
      </c>
      <c r="K919" s="44">
        <f ca="1">GEV!D126</f>
        <v>3.5409288456051251</v>
      </c>
      <c r="Q919">
        <f t="shared" si="114"/>
        <v>-9.9999900000000002E+307</v>
      </c>
      <c r="R919">
        <f t="shared" si="115"/>
        <v>22</v>
      </c>
    </row>
    <row r="920" spans="3:18" x14ac:dyDescent="0.25">
      <c r="C920">
        <f t="shared" si="108"/>
        <v>3.0560698923378681E-10</v>
      </c>
      <c r="D920">
        <v>94</v>
      </c>
      <c r="E920" s="25">
        <f t="shared" si="109"/>
        <v>19.763616270764331</v>
      </c>
      <c r="F920">
        <f t="shared" si="110"/>
        <v>1.3665230396075091E-9</v>
      </c>
      <c r="G920" t="e">
        <f t="shared" si="111"/>
        <v>#N/A</v>
      </c>
      <c r="H920">
        <f t="shared" si="112"/>
        <v>0.99999999969439302</v>
      </c>
      <c r="I920" t="e">
        <f t="shared" si="113"/>
        <v>#N/A</v>
      </c>
      <c r="K920" s="44">
        <f ca="1">GEV!D127</f>
        <v>4.6765699172166135</v>
      </c>
      <c r="Q920">
        <f t="shared" si="114"/>
        <v>-9.9999900000000002E+307</v>
      </c>
      <c r="R920">
        <f t="shared" si="115"/>
        <v>22</v>
      </c>
    </row>
    <row r="921" spans="3:18" x14ac:dyDescent="0.25">
      <c r="C921">
        <f t="shared" si="108"/>
        <v>4.9313112470742052E-11</v>
      </c>
      <c r="D921">
        <v>95</v>
      </c>
      <c r="E921" s="25">
        <f t="shared" si="109"/>
        <v>20.136513558970279</v>
      </c>
      <c r="F921">
        <f t="shared" si="110"/>
        <v>2.6462823330799765E-10</v>
      </c>
      <c r="G921" t="e">
        <f t="shared" si="111"/>
        <v>#N/A</v>
      </c>
      <c r="H921">
        <f t="shared" si="112"/>
        <v>0.99999999995068689</v>
      </c>
      <c r="I921" t="e">
        <f t="shared" si="113"/>
        <v>#N/A</v>
      </c>
      <c r="K921" s="44">
        <f ca="1">GEV!D128</f>
        <v>4.4488996035483961</v>
      </c>
      <c r="Q921">
        <f t="shared" si="114"/>
        <v>-9.9999900000000002E+307</v>
      </c>
      <c r="R921">
        <f t="shared" si="115"/>
        <v>22</v>
      </c>
    </row>
    <row r="922" spans="3:18" x14ac:dyDescent="0.25">
      <c r="C922">
        <f t="shared" si="108"/>
        <v>5.2878558600326007E-12</v>
      </c>
      <c r="D922">
        <v>96</v>
      </c>
      <c r="E922" s="25">
        <f t="shared" si="109"/>
        <v>20.509410847176227</v>
      </c>
      <c r="F922">
        <f t="shared" si="110"/>
        <v>3.5474938550219078E-11</v>
      </c>
      <c r="G922" t="e">
        <f t="shared" si="111"/>
        <v>#N/A</v>
      </c>
      <c r="H922">
        <f t="shared" si="112"/>
        <v>0.99999999999471212</v>
      </c>
      <c r="I922" t="e">
        <f t="shared" si="113"/>
        <v>#N/A</v>
      </c>
      <c r="K922" s="44">
        <f ca="1">GEV!D129</f>
        <v>-8.159227569126859E-2</v>
      </c>
      <c r="Q922">
        <f t="shared" si="114"/>
        <v>-9.9999900000000002E+307</v>
      </c>
      <c r="R922">
        <f t="shared" si="115"/>
        <v>22</v>
      </c>
    </row>
    <row r="923" spans="3:18" x14ac:dyDescent="0.25">
      <c r="C923">
        <f t="shared" si="108"/>
        <v>2.9711251230845707E-13</v>
      </c>
      <c r="D923">
        <v>97</v>
      </c>
      <c r="E923" s="25">
        <f t="shared" si="109"/>
        <v>20.882308135382175</v>
      </c>
      <c r="F923">
        <f t="shared" si="110"/>
        <v>2.6582685417502003E-12</v>
      </c>
      <c r="G923" t="e">
        <f t="shared" si="111"/>
        <v>#N/A</v>
      </c>
      <c r="H923">
        <f t="shared" si="112"/>
        <v>0.9999999999997029</v>
      </c>
      <c r="I923" t="e">
        <f t="shared" si="113"/>
        <v>#N/A</v>
      </c>
      <c r="K923" s="44">
        <f ca="1">GEV!D130</f>
        <v>1.1436087467386606</v>
      </c>
      <c r="Q923">
        <f>IF($B$835&gt;0, $B$833-($B$834/$B$835),-9.99999E+307)</f>
        <v>-9.9999900000000002E+307</v>
      </c>
      <c r="R923">
        <f>IF($B$835&gt;0,9.99999E+307, IF($B$835=0,9.99999E+307,$B$833-($B$834/$B$835)))</f>
        <v>22</v>
      </c>
    </row>
    <row r="924" spans="3:18" x14ac:dyDescent="0.25">
      <c r="C924">
        <f t="shared" si="108"/>
        <v>5.1293826433980799E-15</v>
      </c>
      <c r="D924">
        <v>98</v>
      </c>
      <c r="E924" s="25">
        <f t="shared" si="109"/>
        <v>21.255205423588123</v>
      </c>
      <c r="F924">
        <f t="shared" si="110"/>
        <v>6.8869763634818559E-14</v>
      </c>
      <c r="G924" t="e">
        <f t="shared" si="111"/>
        <v>#N/A</v>
      </c>
      <c r="H924">
        <f t="shared" si="112"/>
        <v>0.99999999999999489</v>
      </c>
      <c r="I924" t="e">
        <f t="shared" si="113"/>
        <v>#N/A</v>
      </c>
      <c r="K924" s="44">
        <f ca="1">GEV!D131</f>
        <v>2.5540469149023752</v>
      </c>
      <c r="Q924">
        <f t="shared" ref="Q924:Q926" si="116">IF($B$835&gt;0, $B$833-($B$834/$B$835),-9.99999E+307)</f>
        <v>-9.9999900000000002E+307</v>
      </c>
      <c r="R924">
        <f t="shared" ref="R924:R926" si="117">IF($B$835&gt;0,9.99999E+307, IF($B$835=0,9.99999E+307,$B$833-($B$834/$B$835)))</f>
        <v>22</v>
      </c>
    </row>
    <row r="925" spans="3:18" x14ac:dyDescent="0.25">
      <c r="C925">
        <f t="shared" si="108"/>
        <v>4.9423120117414117E-18</v>
      </c>
      <c r="D925">
        <v>99</v>
      </c>
      <c r="E925" s="25">
        <f t="shared" si="109"/>
        <v>21.628102711794071</v>
      </c>
      <c r="F925">
        <f t="shared" si="110"/>
        <v>1.328945428880017E-16</v>
      </c>
      <c r="G925" t="e">
        <f t="shared" si="111"/>
        <v>#N/A</v>
      </c>
      <c r="H925">
        <f t="shared" si="112"/>
        <v>1</v>
      </c>
      <c r="I925" t="e">
        <f t="shared" si="113"/>
        <v>#N/A</v>
      </c>
      <c r="K925" s="44">
        <f ca="1">GEV!D132</f>
        <v>1.8678800087431462</v>
      </c>
      <c r="Q925">
        <f t="shared" si="116"/>
        <v>-9.9999900000000002E+307</v>
      </c>
      <c r="R925">
        <f t="shared" si="117"/>
        <v>22</v>
      </c>
    </row>
    <row r="926" spans="3:18" x14ac:dyDescent="0.25">
      <c r="C926">
        <f t="shared" si="108"/>
        <v>9.7656250019408074E-44</v>
      </c>
      <c r="D926">
        <v>100</v>
      </c>
      <c r="E926" s="25">
        <f t="shared" si="109"/>
        <v>22.001000000000019</v>
      </c>
      <c r="F926">
        <f t="shared" si="110"/>
        <v>9.7656250017466603E-40</v>
      </c>
      <c r="G926" t="e">
        <f t="shared" si="111"/>
        <v>#N/A</v>
      </c>
      <c r="H926">
        <f t="shared" si="112"/>
        <v>1</v>
      </c>
      <c r="I926" t="e">
        <f t="shared" si="113"/>
        <v>#N/A</v>
      </c>
      <c r="K926" s="44">
        <f ca="1">GEV!D133</f>
        <v>0.30688187260807176</v>
      </c>
      <c r="Q926">
        <f t="shared" si="116"/>
        <v>-9.9999900000000002E+307</v>
      </c>
      <c r="R926">
        <f t="shared" si="117"/>
        <v>22</v>
      </c>
    </row>
    <row r="927" spans="3:18" x14ac:dyDescent="0.25">
      <c r="K927" s="51"/>
    </row>
    <row r="929" spans="1:13" x14ac:dyDescent="0.25">
      <c r="E929" s="111"/>
      <c r="F929" s="111" t="s">
        <v>267</v>
      </c>
      <c r="G929" s="111"/>
      <c r="H929" s="112"/>
      <c r="I929" s="112" t="s">
        <v>268</v>
      </c>
      <c r="J929" s="112"/>
      <c r="K929" s="113"/>
      <c r="L929" s="113" t="s">
        <v>269</v>
      </c>
      <c r="M929" s="113"/>
    </row>
    <row r="930" spans="1:13" x14ac:dyDescent="0.25">
      <c r="A930" s="6" t="s">
        <v>260</v>
      </c>
      <c r="B930" s="6"/>
      <c r="C930" s="6"/>
      <c r="D930" s="6" t="s">
        <v>71</v>
      </c>
      <c r="E930" s="9" t="s">
        <v>72</v>
      </c>
      <c r="F930" s="9" t="s">
        <v>265</v>
      </c>
      <c r="G930" s="9" t="s">
        <v>264</v>
      </c>
      <c r="H930" s="109" t="s">
        <v>270</v>
      </c>
      <c r="I930" s="109" t="s">
        <v>265</v>
      </c>
      <c r="J930" s="109" t="s">
        <v>264</v>
      </c>
      <c r="K930" s="110" t="s">
        <v>271</v>
      </c>
      <c r="L930" s="110" t="s">
        <v>265</v>
      </c>
      <c r="M930" s="110" t="s">
        <v>264</v>
      </c>
    </row>
    <row r="931" spans="1:13" x14ac:dyDescent="0.25">
      <c r="B931" s="50"/>
      <c r="D931">
        <v>1</v>
      </c>
      <c r="E931" s="94">
        <f>B934</f>
        <v>1.2505472170427321E-4</v>
      </c>
      <c r="F931">
        <f t="shared" ref="F931:F962" si="118">(1/EXP(GAMMALN($B$936)+GAMMALN($B$937)-GAMMALN($B$936+$B$937)))*$E931^($B$936-1)*(1-$E931)^($B$937-1)</f>
        <v>7.9929995623358794</v>
      </c>
      <c r="G931">
        <f t="shared" ref="G931:G962" si="119">(1/EXP(GAMMALN($B$938)+GAMMALN($B$939)-GAMMALN($B$938+$B$939)))*$E931^($B$938-1)*(1-$E931)^($B$939-1)</f>
        <v>3.8190249618569289E-2</v>
      </c>
      <c r="H931" s="50">
        <f>B942</f>
        <v>1.2459393588662407E-3</v>
      </c>
      <c r="I931">
        <f>(1/EXP(GAMMALN($B$944)+GAMMALN($B$945)-GAMMALN($B$944+$B$945)))*$H931^($B$944-1)*(1-$H931)^($B$945-1)</f>
        <v>9.0234454174526117</v>
      </c>
      <c r="J931">
        <f>(1/EXP(GAMMALN($B$946)+GAMMALN($B$947)-GAMMALN($B$946+$B$947)))*$H931^($B$946-1)*(1-$H931)^($B$947-1)</f>
        <v>1.1988125654592603</v>
      </c>
      <c r="K931" s="50">
        <f>B950</f>
        <v>8.8340275561963754E-4</v>
      </c>
      <c r="L931">
        <f>(1/EXP(GAMMALN($B$952)+GAMMALN($B$953)-GAMMALN($B$952+$B$953)))*$K931^($B$952-1)*(1-$K931)^($B$953-1)</f>
        <v>39.045346840316405</v>
      </c>
      <c r="M931">
        <f>(1/EXP(GAMMALN($B$954)+GAMMALN($B$955)-GAMMALN($B$954+$B$955)))*$K931^($B$954-1)*(1-$K931)^($B$955-1)</f>
        <v>1.6904845090131182</v>
      </c>
    </row>
    <row r="932" spans="1:13" x14ac:dyDescent="0.25">
      <c r="D932">
        <v>2</v>
      </c>
      <c r="E932" s="94">
        <f t="shared" ref="E932:E963" si="120">E931+$B$940</f>
        <v>5.9652410030145101E-3</v>
      </c>
      <c r="F932">
        <f t="shared" si="118"/>
        <v>7.6718655509808666</v>
      </c>
      <c r="G932">
        <f t="shared" si="119"/>
        <v>1.6587256295888966</v>
      </c>
      <c r="H932" s="94">
        <f>H931+$B$948</f>
        <v>6.9566250809910274E-3</v>
      </c>
      <c r="I932">
        <f t="shared" ref="I932:I995" si="121">(1/EXP(GAMMALN($B$944)+GAMMALN($B$945)-GAMMALN($B$944+$B$945)))*$H932^($B$944-1)*(1-$H932)^($B$945-1)</f>
        <v>3.8297173210403543</v>
      </c>
      <c r="J932">
        <f t="shared" ref="J932:J995" si="122">(1/EXP(GAMMALN($B$946)+GAMMALN($B$947)-GAMMALN($B$946+$B$947)))*$H932^($B$946-1)*(1-$H932)^($B$947-1)</f>
        <v>2.6979521666904764</v>
      </c>
      <c r="K932" s="94">
        <f>K931+$B$956</f>
        <v>8.1218394171563308E-3</v>
      </c>
      <c r="L932">
        <f t="shared" ref="L932:L995" si="123">(1/EXP(GAMMALN($B$952)+GAMMALN($B$953)-GAMMALN($B$952+$B$953)))*$K932^($B$952-1)*(1-$K932)^($B$953-1)</f>
        <v>12.553620661460982</v>
      </c>
      <c r="M932">
        <f t="shared" ref="M932:M995" si="124">(1/EXP(GAMMALN($B$954)+GAMMALN($B$955)-GAMMALN($B$954+$B$955)))*$K932^($B$954-1)*(1-$K932)^($B$955-1)</f>
        <v>4.6804321156975748</v>
      </c>
    </row>
    <row r="933" spans="1:13" x14ac:dyDescent="0.25">
      <c r="A933" s="107" t="s">
        <v>267</v>
      </c>
      <c r="B933" s="108"/>
      <c r="D933">
        <v>3</v>
      </c>
      <c r="E933" s="94">
        <f t="shared" si="120"/>
        <v>1.1805427284324748E-2</v>
      </c>
      <c r="F933">
        <f t="shared" si="118"/>
        <v>7.3618546312877999</v>
      </c>
      <c r="G933">
        <f t="shared" si="119"/>
        <v>2.9873256425456063</v>
      </c>
      <c r="H933" s="94">
        <f t="shared" ref="H933:H996" si="125">H932+$B$948</f>
        <v>1.2667310803115815E-2</v>
      </c>
      <c r="I933">
        <f t="shared" si="121"/>
        <v>2.8462703978258053</v>
      </c>
      <c r="J933">
        <f t="shared" si="122"/>
        <v>3.4664679625775734</v>
      </c>
      <c r="K933" s="94">
        <f t="shared" ref="K933:K996" si="126">K932+$B$956</f>
        <v>1.5360276078693023E-2</v>
      </c>
      <c r="L933">
        <f t="shared" si="123"/>
        <v>8.8974032992509908</v>
      </c>
      <c r="M933">
        <f t="shared" si="124"/>
        <v>5.8734878221800866</v>
      </c>
    </row>
    <row r="934" spans="1:13" x14ac:dyDescent="0.25">
      <c r="A934" t="s">
        <v>28</v>
      </c>
      <c r="B934" s="50">
        <f>MIN(BETAINV(0.001,B936,B937),BETAINV(0.001,B938,B939))</f>
        <v>1.2505472170427321E-4</v>
      </c>
      <c r="D934">
        <v>4</v>
      </c>
      <c r="E934" s="94">
        <f t="shared" si="120"/>
        <v>1.7645613565634984E-2</v>
      </c>
      <c r="F934">
        <f t="shared" si="118"/>
        <v>7.0626438738383328</v>
      </c>
      <c r="G934">
        <f t="shared" si="119"/>
        <v>4.0611516768828775</v>
      </c>
      <c r="H934" s="94">
        <f t="shared" si="125"/>
        <v>1.8377996525240602E-2</v>
      </c>
      <c r="I934">
        <f t="shared" si="121"/>
        <v>2.3698938961611375</v>
      </c>
      <c r="J934">
        <f t="shared" si="122"/>
        <v>3.9744825367601404</v>
      </c>
      <c r="K934" s="94">
        <f t="shared" si="126"/>
        <v>2.2598712740229718E-2</v>
      </c>
      <c r="L934">
        <f t="shared" si="123"/>
        <v>7.1483428671653719</v>
      </c>
      <c r="M934">
        <f t="shared" si="124"/>
        <v>6.4965507599303347</v>
      </c>
    </row>
    <row r="935" spans="1:13" x14ac:dyDescent="0.25">
      <c r="A935" t="s">
        <v>29</v>
      </c>
      <c r="B935" s="50">
        <f>MAX(BETAINV(0.999,B936,B937),BETAINV(0.999,B938,B939))</f>
        <v>0.57830349657141777</v>
      </c>
      <c r="D935">
        <v>5</v>
      </c>
      <c r="E935" s="94">
        <f t="shared" si="120"/>
        <v>2.348579984694522E-2</v>
      </c>
      <c r="F935">
        <f t="shared" si="118"/>
        <v>6.7739178935086235</v>
      </c>
      <c r="G935">
        <f t="shared" si="119"/>
        <v>4.9134188821675622</v>
      </c>
      <c r="H935" s="94">
        <f t="shared" si="125"/>
        <v>2.4088682247365389E-2</v>
      </c>
      <c r="I935">
        <f t="shared" si="121"/>
        <v>2.0760529619592498</v>
      </c>
      <c r="J935">
        <f t="shared" si="122"/>
        <v>4.3301169474524839</v>
      </c>
      <c r="K935" s="94">
        <f t="shared" si="126"/>
        <v>2.9837149401766412E-2</v>
      </c>
      <c r="L935">
        <f t="shared" si="123"/>
        <v>6.0613537434164693</v>
      </c>
      <c r="M935">
        <f t="shared" si="124"/>
        <v>6.8024651312525943</v>
      </c>
    </row>
    <row r="936" spans="1:13" x14ac:dyDescent="0.25">
      <c r="A936" t="s">
        <v>262</v>
      </c>
      <c r="B936">
        <f>'Bayes-Binomial'!$D$5</f>
        <v>1</v>
      </c>
      <c r="D936">
        <v>6</v>
      </c>
      <c r="E936" s="94">
        <f t="shared" si="120"/>
        <v>2.9325986128255457E-2</v>
      </c>
      <c r="F936">
        <f t="shared" si="118"/>
        <v>6.4953687165020417</v>
      </c>
      <c r="G936">
        <f t="shared" si="119"/>
        <v>5.5737630510945513</v>
      </c>
      <c r="H936" s="94">
        <f t="shared" si="125"/>
        <v>2.9799367969490176E-2</v>
      </c>
      <c r="I936">
        <f t="shared" si="121"/>
        <v>1.872043017829325</v>
      </c>
      <c r="J936">
        <f t="shared" si="122"/>
        <v>4.5817545433825746</v>
      </c>
      <c r="K936" s="94">
        <f t="shared" si="126"/>
        <v>3.7075586063303106E-2</v>
      </c>
      <c r="L936">
        <f t="shared" si="123"/>
        <v>5.2968873031713342</v>
      </c>
      <c r="M936">
        <f t="shared" si="124"/>
        <v>6.9051980359193443</v>
      </c>
    </row>
    <row r="937" spans="1:13" x14ac:dyDescent="0.25">
      <c r="A937" t="s">
        <v>263</v>
      </c>
      <c r="B937">
        <f>'Bayes-Binomial'!$D$6</f>
        <v>8</v>
      </c>
      <c r="D937">
        <v>7</v>
      </c>
      <c r="E937" s="94">
        <f t="shared" si="120"/>
        <v>3.5166172409565696E-2</v>
      </c>
      <c r="F937">
        <f t="shared" si="118"/>
        <v>6.2266956489534939</v>
      </c>
      <c r="G937">
        <f t="shared" si="119"/>
        <v>6.06857710140011</v>
      </c>
      <c r="H937" s="94">
        <f t="shared" si="125"/>
        <v>3.551005369161496E-2</v>
      </c>
      <c r="I937">
        <f t="shared" si="121"/>
        <v>1.7199887659338127</v>
      </c>
      <c r="J937">
        <f t="shared" si="122"/>
        <v>4.7567600812604098</v>
      </c>
      <c r="K937" s="94">
        <f t="shared" si="126"/>
        <v>4.4314022724839801E-2</v>
      </c>
      <c r="L937">
        <f t="shared" si="123"/>
        <v>4.7187254820909335</v>
      </c>
      <c r="M937">
        <f t="shared" si="124"/>
        <v>6.869741745161777</v>
      </c>
    </row>
    <row r="938" spans="1:13" x14ac:dyDescent="0.25">
      <c r="A938" t="s">
        <v>261</v>
      </c>
      <c r="B938">
        <f>'Bayes-Binomial'!$D$17</f>
        <v>2</v>
      </c>
      <c r="D938">
        <v>8</v>
      </c>
      <c r="E938" s="94">
        <f t="shared" si="120"/>
        <v>4.1006358690875933E-2</v>
      </c>
      <c r="F938">
        <f t="shared" si="118"/>
        <v>5.9676051470960223</v>
      </c>
      <c r="G938">
        <f t="shared" si="119"/>
        <v>6.4213194156939304</v>
      </c>
      <c r="H938" s="94">
        <f t="shared" si="125"/>
        <v>4.1220739413739743E-2</v>
      </c>
      <c r="I938">
        <f t="shared" si="121"/>
        <v>1.6011533294885059</v>
      </c>
      <c r="J938">
        <f t="shared" si="122"/>
        <v>4.8727187468404942</v>
      </c>
      <c r="K938" s="94">
        <f t="shared" si="126"/>
        <v>5.1552459386376495E-2</v>
      </c>
      <c r="L938">
        <f t="shared" si="123"/>
        <v>4.2600427735988058</v>
      </c>
      <c r="M938">
        <f t="shared" si="124"/>
        <v>6.7378413408540796</v>
      </c>
    </row>
    <row r="939" spans="1:13" x14ac:dyDescent="0.25">
      <c r="A939" t="s">
        <v>266</v>
      </c>
      <c r="B939">
        <f>'Bayes-Binomial'!$D$18</f>
        <v>17</v>
      </c>
      <c r="D939">
        <v>9</v>
      </c>
      <c r="E939" s="94">
        <f t="shared" si="120"/>
        <v>4.6846544972186169E-2</v>
      </c>
      <c r="F939">
        <f t="shared" si="118"/>
        <v>5.7178106889803679</v>
      </c>
      <c r="G939">
        <f t="shared" si="119"/>
        <v>6.6527961469441808</v>
      </c>
      <c r="H939" s="94">
        <f t="shared" si="125"/>
        <v>4.6931425135864527E-2</v>
      </c>
      <c r="I939">
        <f t="shared" si="121"/>
        <v>1.5050682046464496</v>
      </c>
      <c r="J939">
        <f t="shared" si="122"/>
        <v>4.9418804642078422</v>
      </c>
      <c r="K939" s="94">
        <f t="shared" si="126"/>
        <v>5.879089604791319E-2</v>
      </c>
      <c r="L939">
        <f t="shared" si="123"/>
        <v>3.8836352147741064</v>
      </c>
      <c r="M939">
        <f t="shared" si="124"/>
        <v>6.5382448845966774</v>
      </c>
    </row>
    <row r="940" spans="1:13" x14ac:dyDescent="0.25">
      <c r="A940" t="s">
        <v>199</v>
      </c>
      <c r="B940" s="50">
        <f>(B935-B934)/99</f>
        <v>5.8401862813102371E-3</v>
      </c>
      <c r="D940">
        <v>10</v>
      </c>
      <c r="E940" s="94">
        <f t="shared" si="120"/>
        <v>5.2686731253496405E-2</v>
      </c>
      <c r="F940">
        <f t="shared" si="118"/>
        <v>5.4770326477380813</v>
      </c>
      <c r="G940">
        <f t="shared" si="119"/>
        <v>6.7814194560298988</v>
      </c>
      <c r="H940" s="94">
        <f t="shared" si="125"/>
        <v>5.264211085798931E-2</v>
      </c>
      <c r="I940">
        <f t="shared" si="121"/>
        <v>1.4253661523987835</v>
      </c>
      <c r="J940">
        <f t="shared" si="122"/>
        <v>4.9732625205297767</v>
      </c>
      <c r="K940" s="94">
        <f t="shared" si="126"/>
        <v>6.6029332709449884E-2</v>
      </c>
      <c r="L940">
        <f t="shared" si="123"/>
        <v>3.566891732644446</v>
      </c>
      <c r="M940">
        <f t="shared" si="124"/>
        <v>6.2916356699175493</v>
      </c>
    </row>
    <row r="941" spans="1:13" x14ac:dyDescent="0.25">
      <c r="A941" s="107" t="s">
        <v>268</v>
      </c>
      <c r="B941" s="108"/>
      <c r="D941">
        <v>11</v>
      </c>
      <c r="E941" s="94">
        <f t="shared" si="120"/>
        <v>5.8526917534806641E-2</v>
      </c>
      <c r="F941">
        <f t="shared" si="118"/>
        <v>5.2449981663789318</v>
      </c>
      <c r="G941">
        <f t="shared" si="119"/>
        <v>6.8234435148967245</v>
      </c>
      <c r="H941" s="94">
        <f t="shared" si="125"/>
        <v>5.8352796580114094E-2</v>
      </c>
      <c r="I941">
        <f t="shared" si="121"/>
        <v>1.3579231101556859</v>
      </c>
      <c r="J941">
        <f t="shared" si="122"/>
        <v>4.9737712277258312</v>
      </c>
      <c r="K941" s="94">
        <f t="shared" si="126"/>
        <v>7.3267769370986571E-2</v>
      </c>
      <c r="L941">
        <f t="shared" si="123"/>
        <v>3.2951523899422561</v>
      </c>
      <c r="M941">
        <f t="shared" si="124"/>
        <v>6.0133222877969725</v>
      </c>
    </row>
    <row r="942" spans="1:13" x14ac:dyDescent="0.25">
      <c r="A942" t="s">
        <v>28</v>
      </c>
      <c r="B942" s="50">
        <f>MIN(BETAINV(0.001,B946,B947))</f>
        <v>1.2459393588662407E-3</v>
      </c>
      <c r="D942">
        <v>12</v>
      </c>
      <c r="E942" s="94">
        <f t="shared" si="120"/>
        <v>6.4367103816116877E-2</v>
      </c>
      <c r="F942">
        <f t="shared" si="118"/>
        <v>5.0214410341131943</v>
      </c>
      <c r="G942">
        <f t="shared" si="119"/>
        <v>6.7931799839680478</v>
      </c>
      <c r="H942" s="94">
        <f t="shared" si="125"/>
        <v>6.4063482302238878E-2</v>
      </c>
      <c r="I942">
        <f t="shared" si="121"/>
        <v>1.2999350688393654</v>
      </c>
      <c r="J942">
        <f t="shared" si="122"/>
        <v>4.9488546485398954</v>
      </c>
      <c r="K942" s="94">
        <f t="shared" si="126"/>
        <v>8.0506206032523259E-2</v>
      </c>
      <c r="L942">
        <f t="shared" si="123"/>
        <v>3.0584274341325144</v>
      </c>
      <c r="M942">
        <f t="shared" si="124"/>
        <v>5.7148437594726014</v>
      </c>
    </row>
    <row r="943" spans="1:13" x14ac:dyDescent="0.25">
      <c r="A943" t="s">
        <v>29</v>
      </c>
      <c r="B943" s="50">
        <f>MAX(BETAINV(0.999,B946,B947))</f>
        <v>0.56660382584922009</v>
      </c>
      <c r="D943">
        <v>13</v>
      </c>
      <c r="E943" s="94">
        <f t="shared" si="120"/>
        <v>7.0207290097427114E-2</v>
      </c>
      <c r="F943">
        <f t="shared" si="118"/>
        <v>4.8061015641895164</v>
      </c>
      <c r="G943">
        <f t="shared" si="119"/>
        <v>6.703194555151561</v>
      </c>
      <c r="H943" s="94">
        <f t="shared" si="125"/>
        <v>6.9774168024363661E-2</v>
      </c>
      <c r="I943">
        <f t="shared" si="121"/>
        <v>1.2494204101787727</v>
      </c>
      <c r="J943">
        <f t="shared" si="122"/>
        <v>4.9029084697437844</v>
      </c>
      <c r="K943" s="94">
        <f t="shared" si="126"/>
        <v>8.7744642694059946E-2</v>
      </c>
      <c r="L943">
        <f t="shared" si="123"/>
        <v>2.8496349350261214</v>
      </c>
      <c r="M943">
        <f t="shared" si="124"/>
        <v>5.4049942688511878</v>
      </c>
    </row>
    <row r="944" spans="1:13" x14ac:dyDescent="0.25">
      <c r="A944" t="s">
        <v>262</v>
      </c>
      <c r="B944">
        <f>'Bayes-Binomial'!$D$7</f>
        <v>0.5</v>
      </c>
      <c r="D944">
        <v>14</v>
      </c>
      <c r="E944" s="94">
        <f t="shared" si="120"/>
        <v>7.604747637873735E-2</v>
      </c>
      <c r="F944">
        <f t="shared" si="118"/>
        <v>4.5987264732389992</v>
      </c>
      <c r="G944">
        <f t="shared" si="119"/>
        <v>6.5644860416345061</v>
      </c>
      <c r="H944" s="94">
        <f t="shared" si="125"/>
        <v>7.5484853746488445E-2</v>
      </c>
      <c r="I944">
        <f t="shared" si="121"/>
        <v>1.2049338443054309</v>
      </c>
      <c r="J944">
        <f t="shared" si="122"/>
        <v>4.8395419546339875</v>
      </c>
      <c r="K944" s="94">
        <f t="shared" si="126"/>
        <v>9.4983079355596634E-2</v>
      </c>
      <c r="L944">
        <f t="shared" si="123"/>
        <v>2.6635900057364443</v>
      </c>
      <c r="M944">
        <f t="shared" si="124"/>
        <v>5.0905125545316059</v>
      </c>
    </row>
    <row r="945" spans="1:13" x14ac:dyDescent="0.25">
      <c r="A945" t="s">
        <v>263</v>
      </c>
      <c r="B945">
        <f>'Bayes-Binomial'!$D$8</f>
        <v>0.5</v>
      </c>
      <c r="D945">
        <v>15</v>
      </c>
      <c r="E945" s="94">
        <f t="shared" si="120"/>
        <v>8.1887662660047586E-2</v>
      </c>
      <c r="F945">
        <f t="shared" si="118"/>
        <v>4.3990687621161602</v>
      </c>
      <c r="G945">
        <f t="shared" si="119"/>
        <v>6.3866493922941148</v>
      </c>
      <c r="H945" s="94">
        <f t="shared" si="125"/>
        <v>8.1195539468613229E-2</v>
      </c>
      <c r="I945">
        <f t="shared" si="121"/>
        <v>1.1653932385240828</v>
      </c>
      <c r="J945">
        <f t="shared" si="122"/>
        <v>4.7617597850407591</v>
      </c>
      <c r="K945" s="94">
        <f t="shared" si="126"/>
        <v>0.10222151601713332</v>
      </c>
      <c r="L945">
        <f t="shared" si="123"/>
        <v>2.4963936498038874</v>
      </c>
      <c r="M945">
        <f t="shared" si="124"/>
        <v>4.7765653364034408</v>
      </c>
    </row>
    <row r="946" spans="1:13" x14ac:dyDescent="0.25">
      <c r="A946" t="s">
        <v>261</v>
      </c>
      <c r="B946">
        <f>'Bayes-Binomial'!$F$17</f>
        <v>1.5</v>
      </c>
      <c r="D946">
        <v>16</v>
      </c>
      <c r="E946" s="94">
        <f t="shared" si="120"/>
        <v>8.7727848941357822E-2</v>
      </c>
      <c r="F946">
        <f t="shared" si="118"/>
        <v>4.2068875982274134</v>
      </c>
      <c r="G946">
        <f t="shared" si="119"/>
        <v>6.178023911594611</v>
      </c>
      <c r="H946" s="94">
        <f t="shared" si="125"/>
        <v>8.6906225190738012E-2</v>
      </c>
      <c r="I946">
        <f t="shared" si="121"/>
        <v>1.1299702073208431</v>
      </c>
      <c r="J946">
        <f t="shared" si="122"/>
        <v>4.6720908579570661</v>
      </c>
      <c r="K946" s="94">
        <f t="shared" si="126"/>
        <v>0.10945995267867001</v>
      </c>
      <c r="L946">
        <f t="shared" si="123"/>
        <v>2.3450468021870918</v>
      </c>
      <c r="M946">
        <f t="shared" si="124"/>
        <v>4.4670977825309617</v>
      </c>
    </row>
    <row r="947" spans="1:13" x14ac:dyDescent="0.25">
      <c r="A947" t="s">
        <v>266</v>
      </c>
      <c r="B947">
        <f>'Bayes-Binomial'!$F$18</f>
        <v>9.5</v>
      </c>
      <c r="D947">
        <v>17</v>
      </c>
      <c r="E947" s="94">
        <f t="shared" si="120"/>
        <v>9.3568035222668058E-2</v>
      </c>
      <c r="F947">
        <f t="shared" si="118"/>
        <v>4.0219481993377695</v>
      </c>
      <c r="G947">
        <f t="shared" si="119"/>
        <v>5.945827874948554</v>
      </c>
      <c r="H947" s="94">
        <f t="shared" si="125"/>
        <v>9.2616910912862796E-2</v>
      </c>
      <c r="I947">
        <f t="shared" si="121"/>
        <v>1.0980184583451176</v>
      </c>
      <c r="J947">
        <f t="shared" si="122"/>
        <v>4.5726822644055725</v>
      </c>
      <c r="K947" s="94">
        <f t="shared" si="126"/>
        <v>0.1166983893402067</v>
      </c>
      <c r="L947">
        <f t="shared" si="123"/>
        <v>2.2071975217444493</v>
      </c>
      <c r="M947">
        <f t="shared" si="124"/>
        <v>4.1650945281165219</v>
      </c>
    </row>
    <row r="948" spans="1:13" x14ac:dyDescent="0.25">
      <c r="A948" t="s">
        <v>199</v>
      </c>
      <c r="B948" s="50">
        <f>(B943-B942)/99</f>
        <v>5.7106857221247871E-3</v>
      </c>
      <c r="D948">
        <v>18</v>
      </c>
      <c r="E948" s="94">
        <f t="shared" si="120"/>
        <v>9.9408221503978295E-2</v>
      </c>
      <c r="F948">
        <f t="shared" si="118"/>
        <v>3.8440217188463617</v>
      </c>
      <c r="G948">
        <f t="shared" si="119"/>
        <v>5.6962806443529299</v>
      </c>
      <c r="H948" s="94">
        <f t="shared" si="125"/>
        <v>9.832759663498758E-2</v>
      </c>
      <c r="I948">
        <f t="shared" si="121"/>
        <v>1.0690254054052002</v>
      </c>
      <c r="J948">
        <f t="shared" si="122"/>
        <v>4.4653696275217998</v>
      </c>
      <c r="K948" s="94">
        <f t="shared" si="126"/>
        <v>0.12393682600174338</v>
      </c>
      <c r="L948">
        <f t="shared" si="123"/>
        <v>2.0809701688695226</v>
      </c>
      <c r="M948">
        <f t="shared" si="124"/>
        <v>3.8727783952637771</v>
      </c>
    </row>
    <row r="949" spans="1:13" x14ac:dyDescent="0.25">
      <c r="A949" s="107" t="s">
        <v>269</v>
      </c>
      <c r="B949" s="108"/>
      <c r="D949">
        <v>19</v>
      </c>
      <c r="E949" s="94">
        <f t="shared" si="120"/>
        <v>0.10524840778528853</v>
      </c>
      <c r="F949">
        <f t="shared" si="118"/>
        <v>3.6728851325214724</v>
      </c>
      <c r="G949">
        <f t="shared" si="119"/>
        <v>5.4347133093535573</v>
      </c>
      <c r="H949" s="94">
        <f t="shared" si="125"/>
        <v>0.10403828235711236</v>
      </c>
      <c r="I949">
        <f t="shared" si="121"/>
        <v>1.0425786177170746</v>
      </c>
      <c r="J949">
        <f t="shared" si="122"/>
        <v>4.3517309148675922</v>
      </c>
      <c r="K949" s="94">
        <f t="shared" si="126"/>
        <v>0.13117526266328008</v>
      </c>
      <c r="L949">
        <f t="shared" si="123"/>
        <v>1.9648468431025901</v>
      </c>
      <c r="M949">
        <f t="shared" si="124"/>
        <v>3.5917644263991169</v>
      </c>
    </row>
    <row r="950" spans="1:13" x14ac:dyDescent="0.25">
      <c r="A950" t="s">
        <v>28</v>
      </c>
      <c r="B950" s="50">
        <f>MIN(BETAINV(0.001,B954,B955))</f>
        <v>8.8340275561963754E-4</v>
      </c>
      <c r="D950">
        <v>20</v>
      </c>
      <c r="E950" s="94">
        <f t="shared" si="120"/>
        <v>0.11108859406659877</v>
      </c>
      <c r="F950">
        <f t="shared" si="118"/>
        <v>3.5083211266857335</v>
      </c>
      <c r="G950">
        <f t="shared" si="119"/>
        <v>5.1656688037401253</v>
      </c>
      <c r="H950" s="94">
        <f t="shared" si="125"/>
        <v>0.10974896807923715</v>
      </c>
      <c r="I950">
        <f t="shared" si="121"/>
        <v>1.0183420134488734</v>
      </c>
      <c r="J950">
        <f t="shared" si="122"/>
        <v>4.2331284025913503</v>
      </c>
      <c r="K950" s="94">
        <f t="shared" si="126"/>
        <v>0.13841369932481679</v>
      </c>
      <c r="L950">
        <f t="shared" si="123"/>
        <v>1.8575831464860741</v>
      </c>
      <c r="M950">
        <f t="shared" si="124"/>
        <v>3.3231810487181122</v>
      </c>
    </row>
    <row r="951" spans="1:13" x14ac:dyDescent="0.25">
      <c r="A951" t="s">
        <v>29</v>
      </c>
      <c r="B951" s="50">
        <f>MAX(BETAINV(0.999,B952,B953),BETAINV(0.999,B954,B955))</f>
        <v>0.71748863224775228</v>
      </c>
      <c r="D951">
        <v>21</v>
      </c>
      <c r="E951" s="94">
        <f t="shared" si="120"/>
        <v>0.116928780347909</v>
      </c>
      <c r="F951">
        <f t="shared" si="118"/>
        <v>3.3501179878421334</v>
      </c>
      <c r="G951">
        <f t="shared" si="119"/>
        <v>4.8929923785423837</v>
      </c>
      <c r="H951" s="94">
        <f t="shared" si="125"/>
        <v>0.11545965380136193</v>
      </c>
      <c r="I951">
        <f t="shared" si="121"/>
        <v>0.99603862095051832</v>
      </c>
      <c r="J951">
        <f t="shared" si="122"/>
        <v>4.1107419541757562</v>
      </c>
      <c r="K951" s="94">
        <f t="shared" si="126"/>
        <v>0.14565213598635349</v>
      </c>
      <c r="L951">
        <f t="shared" si="123"/>
        <v>1.7581470914829684</v>
      </c>
      <c r="M951">
        <f t="shared" si="124"/>
        <v>3.0677665344379763</v>
      </c>
    </row>
    <row r="952" spans="1:13" x14ac:dyDescent="0.25">
      <c r="A952" t="s">
        <v>262</v>
      </c>
      <c r="B952">
        <f>'Bayes-Binomial'!$D$9</f>
        <v>0.5</v>
      </c>
      <c r="D952">
        <v>22</v>
      </c>
      <c r="E952" s="94">
        <f t="shared" si="120"/>
        <v>0.12276896662921924</v>
      </c>
      <c r="F952">
        <f t="shared" si="118"/>
        <v>3.1980694937315102</v>
      </c>
      <c r="G952">
        <f t="shared" si="119"/>
        <v>4.6199132466110804</v>
      </c>
      <c r="H952" s="94">
        <f t="shared" si="125"/>
        <v>0.12117033952348671</v>
      </c>
      <c r="I952">
        <f t="shared" si="121"/>
        <v>0.97543786885694861</v>
      </c>
      <c r="J952">
        <f t="shared" si="122"/>
        <v>3.985595805685207</v>
      </c>
      <c r="K952" s="94">
        <f t="shared" si="126"/>
        <v>0.15289057264789019</v>
      </c>
      <c r="L952">
        <f t="shared" si="123"/>
        <v>1.6656739791745203</v>
      </c>
      <c r="M952">
        <f t="shared" si="124"/>
        <v>2.8259465452186276</v>
      </c>
    </row>
    <row r="953" spans="1:13" x14ac:dyDescent="0.25">
      <c r="A953" t="s">
        <v>263</v>
      </c>
      <c r="B953">
        <f>'Bayes-Binomial'!$D$10</f>
        <v>4.5</v>
      </c>
      <c r="D953">
        <v>23</v>
      </c>
      <c r="E953" s="94">
        <f t="shared" si="120"/>
        <v>0.12860915291052949</v>
      </c>
      <c r="F953">
        <f t="shared" si="118"/>
        <v>3.0519748058121521</v>
      </c>
      <c r="G953">
        <f t="shared" si="119"/>
        <v>4.349118153065163</v>
      </c>
      <c r="H953" s="94">
        <f t="shared" si="125"/>
        <v>0.12688102524561151</v>
      </c>
      <c r="I953">
        <f t="shared" si="121"/>
        <v>0.95634606322325333</v>
      </c>
      <c r="J953">
        <f t="shared" si="122"/>
        <v>3.85858041022649</v>
      </c>
      <c r="K953" s="94">
        <f t="shared" si="126"/>
        <v>0.16012900930942689</v>
      </c>
      <c r="L953">
        <f t="shared" si="123"/>
        <v>1.5794325259442323</v>
      </c>
      <c r="M953">
        <f t="shared" si="124"/>
        <v>2.5978969589079282</v>
      </c>
    </row>
    <row r="954" spans="1:13" x14ac:dyDescent="0.25">
      <c r="A954" t="s">
        <v>261</v>
      </c>
      <c r="B954">
        <f>'Bayes-Binomial'!$H$17</f>
        <v>1.5</v>
      </c>
      <c r="D954">
        <v>24</v>
      </c>
      <c r="E954" s="94">
        <f t="shared" si="120"/>
        <v>0.13444933919183974</v>
      </c>
      <c r="F954">
        <f t="shared" si="118"/>
        <v>2.9116383631522109</v>
      </c>
      <c r="G954">
        <f t="shared" si="119"/>
        <v>4.0828175689224668</v>
      </c>
      <c r="H954" s="94">
        <f t="shared" si="125"/>
        <v>0.13259171096773631</v>
      </c>
      <c r="I954">
        <f t="shared" si="121"/>
        <v>0.93859914856310489</v>
      </c>
      <c r="J954">
        <f t="shared" si="122"/>
        <v>3.7304704632698775</v>
      </c>
      <c r="K954" s="94">
        <f t="shared" si="126"/>
        <v>0.16736744597096359</v>
      </c>
      <c r="L954">
        <f t="shared" si="123"/>
        <v>1.498799059828317</v>
      </c>
      <c r="M954">
        <f t="shared" si="124"/>
        <v>2.3835950856655499</v>
      </c>
    </row>
    <row r="955" spans="1:13" x14ac:dyDescent="0.25">
      <c r="A955" t="s">
        <v>266</v>
      </c>
      <c r="B955">
        <f>'Bayes-Binomial'!$H$18</f>
        <v>13.5</v>
      </c>
      <c r="D955">
        <v>25</v>
      </c>
      <c r="E955" s="94">
        <f t="shared" si="120"/>
        <v>0.14028952547314999</v>
      </c>
      <c r="F955">
        <f t="shared" si="118"/>
        <v>2.7768697777255311</v>
      </c>
      <c r="G955">
        <f t="shared" si="119"/>
        <v>3.8228051520692063</v>
      </c>
      <c r="H955" s="94">
        <f t="shared" si="125"/>
        <v>0.13830239668986111</v>
      </c>
      <c r="I955">
        <f t="shared" si="121"/>
        <v>0.92205713260577793</v>
      </c>
      <c r="J955">
        <f t="shared" si="122"/>
        <v>3.6019399334706321</v>
      </c>
      <c r="K955" s="94">
        <f t="shared" si="126"/>
        <v>0.17460588263250029</v>
      </c>
      <c r="L955">
        <f t="shared" si="123"/>
        <v>1.4232376026030498</v>
      </c>
      <c r="M955">
        <f t="shared" si="124"/>
        <v>2.1828616148507458</v>
      </c>
    </row>
    <row r="956" spans="1:13" x14ac:dyDescent="0.25">
      <c r="A956" t="s">
        <v>199</v>
      </c>
      <c r="B956" s="50">
        <f>(B951-B950)/99</f>
        <v>7.2384366615366935E-3</v>
      </c>
      <c r="D956">
        <v>26</v>
      </c>
      <c r="E956" s="94">
        <f t="shared" si="120"/>
        <v>0.14612971175446024</v>
      </c>
      <c r="F956">
        <f t="shared" si="118"/>
        <v>2.6474837311016017</v>
      </c>
      <c r="G956">
        <f t="shared" si="119"/>
        <v>3.5705110701417984</v>
      </c>
      <c r="H956" s="94">
        <f t="shared" si="125"/>
        <v>0.1440130824119859</v>
      </c>
      <c r="I956">
        <f t="shared" si="121"/>
        <v>0.90659974109785646</v>
      </c>
      <c r="J956">
        <f t="shared" si="122"/>
        <v>3.4735747150018232</v>
      </c>
      <c r="K956" s="94">
        <f t="shared" si="126"/>
        <v>0.18184431929403699</v>
      </c>
      <c r="L956">
        <f t="shared" si="123"/>
        <v>1.3522843094803174</v>
      </c>
      <c r="M956">
        <f t="shared" si="124"/>
        <v>1.9953950857393927</v>
      </c>
    </row>
    <row r="957" spans="1:13" x14ac:dyDescent="0.25">
      <c r="D957">
        <v>27</v>
      </c>
      <c r="E957" s="94">
        <f t="shared" si="120"/>
        <v>0.15196989803577049</v>
      </c>
      <c r="F957">
        <f t="shared" si="118"/>
        <v>2.5232998725202496</v>
      </c>
      <c r="G957">
        <f t="shared" si="119"/>
        <v>3.3270497336804241</v>
      </c>
      <c r="H957" s="94">
        <f t="shared" si="125"/>
        <v>0.1497237681341107</v>
      </c>
      <c r="I957">
        <f t="shared" si="121"/>
        <v>0.89212299437039844</v>
      </c>
      <c r="J957">
        <f t="shared" si="122"/>
        <v>3.3458833682766973</v>
      </c>
      <c r="K957" s="94">
        <f t="shared" si="126"/>
        <v>0.18908275595557369</v>
      </c>
      <c r="L957">
        <f t="shared" si="123"/>
        <v>1.2855351792664325</v>
      </c>
      <c r="M957">
        <f t="shared" si="124"/>
        <v>1.8208002751668786</v>
      </c>
    </row>
    <row r="958" spans="1:13" x14ac:dyDescent="0.25">
      <c r="D958">
        <v>28</v>
      </c>
      <c r="E958" s="94">
        <f t="shared" si="120"/>
        <v>0.15781008431708074</v>
      </c>
      <c r="F958">
        <f t="shared" si="118"/>
        <v>2.4041427183417481</v>
      </c>
      <c r="G958">
        <f t="shared" si="119"/>
        <v>3.0932624448671313</v>
      </c>
      <c r="H958" s="94">
        <f t="shared" si="125"/>
        <v>0.1554344538562355</v>
      </c>
      <c r="I958">
        <f t="shared" si="121"/>
        <v>0.87853648322256883</v>
      </c>
      <c r="J958">
        <f t="shared" si="122"/>
        <v>3.2193063076267272</v>
      </c>
      <c r="K958" s="94">
        <f t="shared" si="126"/>
        <v>0.1963211926171104</v>
      </c>
      <c r="L958">
        <f t="shared" si="123"/>
        <v>1.2226362497864731</v>
      </c>
      <c r="M958">
        <f t="shared" si="124"/>
        <v>1.6586115985017982</v>
      </c>
    </row>
    <row r="959" spans="1:13" x14ac:dyDescent="0.25">
      <c r="D959">
        <v>29</v>
      </c>
      <c r="E959" s="94">
        <f t="shared" si="120"/>
        <v>0.16365027059839099</v>
      </c>
      <c r="F959">
        <f t="shared" si="118"/>
        <v>2.2898415528630034</v>
      </c>
      <c r="G959">
        <f t="shared" si="119"/>
        <v>2.8697554270915542</v>
      </c>
      <c r="H959" s="94">
        <f t="shared" si="125"/>
        <v>0.1611451395783603</v>
      </c>
      <c r="I959">
        <f t="shared" si="121"/>
        <v>0.86576118139096425</v>
      </c>
      <c r="J959">
        <f t="shared" si="122"/>
        <v>3.0942237146846669</v>
      </c>
      <c r="K959" s="94">
        <f t="shared" si="126"/>
        <v>0.2035596292786471</v>
      </c>
      <c r="L959">
        <f t="shared" si="123"/>
        <v>1.1632757035639001</v>
      </c>
      <c r="M959">
        <f t="shared" si="124"/>
        <v>1.5083123968722911</v>
      </c>
    </row>
    <row r="960" spans="1:13" x14ac:dyDescent="0.25">
      <c r="D960">
        <v>30</v>
      </c>
      <c r="E960" s="94">
        <f t="shared" si="120"/>
        <v>0.16949045687970124</v>
      </c>
      <c r="F960">
        <f t="shared" si="118"/>
        <v>2.180230330490454</v>
      </c>
      <c r="G960">
        <f t="shared" si="119"/>
        <v>2.6569336633137248</v>
      </c>
      <c r="H960" s="94">
        <f t="shared" si="125"/>
        <v>0.16685582530048509</v>
      </c>
      <c r="I960">
        <f t="shared" si="121"/>
        <v>0.85372767405165639</v>
      </c>
      <c r="J960">
        <f t="shared" si="122"/>
        <v>2.9709623966137624</v>
      </c>
      <c r="K960" s="94">
        <f t="shared" si="126"/>
        <v>0.2107980659401838</v>
      </c>
      <c r="L960">
        <f t="shared" si="123"/>
        <v>1.1071774572869388</v>
      </c>
      <c r="M960">
        <f t="shared" si="124"/>
        <v>1.3693508128464469</v>
      </c>
    </row>
    <row r="961" spans="4:13" x14ac:dyDescent="0.25">
      <c r="D961">
        <v>31</v>
      </c>
      <c r="E961" s="94">
        <f t="shared" si="120"/>
        <v>0.17533064316101149</v>
      </c>
      <c r="F961">
        <f t="shared" si="118"/>
        <v>2.0751475792603511</v>
      </c>
      <c r="G961">
        <f t="shared" si="119"/>
        <v>2.4550309365456453</v>
      </c>
      <c r="H961" s="94">
        <f t="shared" si="125"/>
        <v>0.17256651102260989</v>
      </c>
      <c r="I961">
        <f t="shared" si="121"/>
        <v>0.84237471200496417</v>
      </c>
      <c r="J961">
        <f t="shared" si="122"/>
        <v>2.8498017632572696</v>
      </c>
      <c r="K961" s="94">
        <f t="shared" si="126"/>
        <v>0.2180365026017205</v>
      </c>
      <c r="L961">
        <f t="shared" si="123"/>
        <v>1.0540959150387093</v>
      </c>
      <c r="M961">
        <f t="shared" si="124"/>
        <v>1.2411528246614449</v>
      </c>
    </row>
    <row r="962" spans="4:13" x14ac:dyDescent="0.25">
      <c r="D962">
        <v>32</v>
      </c>
      <c r="E962" s="94">
        <f t="shared" si="120"/>
        <v>0.18117082944232174</v>
      </c>
      <c r="F962">
        <f t="shared" si="118"/>
        <v>1.9744363056971004</v>
      </c>
      <c r="G962">
        <f t="shared" si="119"/>
        <v>2.2641364335887988</v>
      </c>
      <c r="H962" s="94">
        <f t="shared" si="125"/>
        <v>0.17827719674473469</v>
      </c>
      <c r="I962">
        <f t="shared" si="121"/>
        <v>0.83164802309796682</v>
      </c>
      <c r="J962">
        <f t="shared" si="122"/>
        <v>2.7309790628196517</v>
      </c>
      <c r="K962" s="94">
        <f t="shared" si="126"/>
        <v>0.2252749392632572</v>
      </c>
      <c r="L962">
        <f t="shared" si="123"/>
        <v>1.003811642531977</v>
      </c>
      <c r="M962">
        <f t="shared" si="124"/>
        <v>1.1231329056508688</v>
      </c>
    </row>
    <row r="963" spans="4:13" x14ac:dyDescent="0.25">
      <c r="D963">
        <v>33</v>
      </c>
      <c r="E963" s="94">
        <f t="shared" si="120"/>
        <v>0.18701101572363199</v>
      </c>
      <c r="F963">
        <f t="shared" ref="F963:F994" si="127">(1/EXP(GAMMALN($B$936)+GAMMALN($B$937)-GAMMALN($B$936+$B$937)))*$E963^($B$936-1)*(1-$E963)^($B$937-1)</f>
        <v>1.8779439010002676</v>
      </c>
      <c r="G963">
        <f t="shared" ref="G963:G994" si="128">(1/EXP(GAMMALN($B$938)+GAMMALN($B$939)-GAMMALN($B$938+$B$939)))*$E963^($B$938-1)*(1-$E963)^($B$939-1)</f>
        <v>2.0842182432902789</v>
      </c>
      <c r="H963" s="94">
        <f t="shared" si="125"/>
        <v>0.18398788246685949</v>
      </c>
      <c r="I963">
        <f t="shared" si="121"/>
        <v>0.82149932851487761</v>
      </c>
      <c r="J963">
        <f t="shared" si="122"/>
        <v>2.6146939890577436</v>
      </c>
      <c r="K963" s="94">
        <f t="shared" si="126"/>
        <v>0.2325133759247939</v>
      </c>
      <c r="L963">
        <f t="shared" si="123"/>
        <v>0.95612777634157742</v>
      </c>
      <c r="M963">
        <f t="shared" si="124"/>
        <v>1.0147026936313108</v>
      </c>
    </row>
    <row r="964" spans="4:13" x14ac:dyDescent="0.25">
      <c r="D964">
        <v>34</v>
      </c>
      <c r="E964" s="94">
        <f t="shared" ref="E964:E995" si="129">E963+$B$940</f>
        <v>0.19285120200494224</v>
      </c>
      <c r="F964">
        <f t="shared" si="127"/>
        <v>1.7855220485509555</v>
      </c>
      <c r="G964">
        <f t="shared" si="128"/>
        <v>1.915144052871478</v>
      </c>
      <c r="H964" s="94">
        <f t="shared" si="125"/>
        <v>0.18969856818898428</v>
      </c>
      <c r="I964">
        <f t="shared" si="121"/>
        <v>0.81188552349205922</v>
      </c>
      <c r="J964">
        <f t="shared" si="122"/>
        <v>2.5011127521747021</v>
      </c>
      <c r="K964" s="94">
        <f t="shared" si="126"/>
        <v>0.2397518125863306</v>
      </c>
      <c r="L964">
        <f t="shared" si="123"/>
        <v>0.91086702427545541</v>
      </c>
      <c r="M964">
        <f t="shared" si="124"/>
        <v>0.91527798953361517</v>
      </c>
    </row>
    <row r="965" spans="4:13" x14ac:dyDescent="0.25">
      <c r="D965">
        <v>35</v>
      </c>
      <c r="E965" s="94">
        <f t="shared" si="129"/>
        <v>0.19869138828625249</v>
      </c>
      <c r="F965">
        <f t="shared" si="127"/>
        <v>1.6970266327281864</v>
      </c>
      <c r="G965">
        <f t="shared" si="128"/>
        <v>1.7566993202021206</v>
      </c>
      <c r="H965" s="94">
        <f t="shared" si="125"/>
        <v>0.19540925391110908</v>
      </c>
      <c r="I965">
        <f t="shared" si="121"/>
        <v>0.80276799095383033</v>
      </c>
      <c r="J965">
        <f t="shared" si="122"/>
        <v>2.3903716892385276</v>
      </c>
      <c r="K965" s="94">
        <f t="shared" si="126"/>
        <v>0.24699024924786731</v>
      </c>
      <c r="L965">
        <f t="shared" si="123"/>
        <v>0.86786914464991283</v>
      </c>
      <c r="M965">
        <f t="shared" si="124"/>
        <v>0.82428435172804571</v>
      </c>
    </row>
    <row r="966" spans="4:13" x14ac:dyDescent="0.25">
      <c r="D966">
        <v>36</v>
      </c>
      <c r="E966" s="94">
        <f t="shared" si="129"/>
        <v>0.20453157456756274</v>
      </c>
      <c r="F966">
        <f t="shared" si="127"/>
        <v>1.6123176490259432</v>
      </c>
      <c r="G966">
        <f t="shared" si="128"/>
        <v>1.6086031761099908</v>
      </c>
      <c r="H966" s="94">
        <f t="shared" si="125"/>
        <v>0.20111993963323388</v>
      </c>
      <c r="I966">
        <f t="shared" si="121"/>
        <v>0.79411202332960795</v>
      </c>
      <c r="J966">
        <f t="shared" si="122"/>
        <v>2.2825804769417317</v>
      </c>
      <c r="K966" s="94">
        <f t="shared" si="126"/>
        <v>0.25422868590940401</v>
      </c>
      <c r="L966">
        <f t="shared" si="123"/>
        <v>0.82698881619184095</v>
      </c>
      <c r="M966">
        <f t="shared" si="124"/>
        <v>0.74116150949551696</v>
      </c>
    </row>
    <row r="967" spans="4:13" x14ac:dyDescent="0.25">
      <c r="D967">
        <v>37</v>
      </c>
      <c r="E967" s="94">
        <f t="shared" si="129"/>
        <v>0.21037176084887299</v>
      </c>
      <c r="F967">
        <f t="shared" si="127"/>
        <v>1.531259115461544</v>
      </c>
      <c r="G967">
        <f t="shared" si="128"/>
        <v>1.4705222888103298</v>
      </c>
      <c r="H967" s="94">
        <f t="shared" si="125"/>
        <v>0.20683062535535868</v>
      </c>
      <c r="I967">
        <f t="shared" si="121"/>
        <v>0.78588633297725408</v>
      </c>
      <c r="J967">
        <f t="shared" si="122"/>
        <v>2.1778249991038696</v>
      </c>
      <c r="K967" s="94">
        <f t="shared" si="126"/>
        <v>0.26146712257094068</v>
      </c>
      <c r="L967">
        <f t="shared" si="123"/>
        <v>0.78809382860271948</v>
      </c>
      <c r="M967">
        <f t="shared" si="124"/>
        <v>0.66536678383497638</v>
      </c>
    </row>
    <row r="968" spans="4:13" x14ac:dyDescent="0.25">
      <c r="D968">
        <v>38</v>
      </c>
      <c r="E968" s="94">
        <f t="shared" si="129"/>
        <v>0.21621194713018324</v>
      </c>
      <c r="F968">
        <f t="shared" si="127"/>
        <v>1.4537189852659758</v>
      </c>
      <c r="G968">
        <f t="shared" si="128"/>
        <v>1.3420829021927201</v>
      </c>
      <c r="H968" s="94">
        <f t="shared" si="125"/>
        <v>0.21254131107748347</v>
      </c>
      <c r="I968">
        <f t="shared" si="121"/>
        <v>0.77806263561329891</v>
      </c>
      <c r="J968">
        <f t="shared" si="122"/>
        <v>2.0761699129150539</v>
      </c>
      <c r="K968" s="94">
        <f t="shared" si="126"/>
        <v>0.26870555923247735</v>
      </c>
      <c r="L968">
        <f t="shared" si="123"/>
        <v>0.75106353793431446</v>
      </c>
      <c r="M968">
        <f t="shared" si="124"/>
        <v>0.5963776746740207</v>
      </c>
    </row>
    <row r="969" spans="4:13" x14ac:dyDescent="0.25">
      <c r="D969">
        <v>39</v>
      </c>
      <c r="E969" s="94">
        <f t="shared" si="129"/>
        <v>0.22205213341149349</v>
      </c>
      <c r="F969">
        <f t="shared" si="127"/>
        <v>1.3795690608468785</v>
      </c>
      <c r="G969">
        <f t="shared" si="128"/>
        <v>1.2228812409087164</v>
      </c>
      <c r="H969" s="94">
        <f t="shared" si="125"/>
        <v>0.21825199679960827</v>
      </c>
      <c r="I969">
        <f t="shared" si="121"/>
        <v>0.77061529423562103</v>
      </c>
      <c r="J969">
        <f t="shared" si="122"/>
        <v>1.9776609510890766</v>
      </c>
      <c r="K969" s="94">
        <f t="shared" si="126"/>
        <v>0.27594399589401403</v>
      </c>
      <c r="L969">
        <f t="shared" si="123"/>
        <v>0.71578754189236959</v>
      </c>
      <c r="M969">
        <f t="shared" si="124"/>
        <v>0.53369374934162261</v>
      </c>
    </row>
    <row r="970" spans="4:13" x14ac:dyDescent="0.25">
      <c r="D970">
        <v>40</v>
      </c>
      <c r="E970" s="94">
        <f t="shared" si="129"/>
        <v>0.22789231969280374</v>
      </c>
      <c r="F970">
        <f t="shared" si="127"/>
        <v>1.308684909014818</v>
      </c>
      <c r="G970">
        <f t="shared" si="128"/>
        <v>1.1124924578569875</v>
      </c>
      <c r="H970" s="94">
        <f t="shared" si="125"/>
        <v>0.22396268252173307</v>
      </c>
      <c r="I970">
        <f t="shared" si="121"/>
        <v>0.76352101343553025</v>
      </c>
      <c r="J970">
        <f t="shared" si="122"/>
        <v>1.8823269915072833</v>
      </c>
      <c r="K970" s="94">
        <f t="shared" si="126"/>
        <v>0.2831824325555507</v>
      </c>
      <c r="L970">
        <f t="shared" si="123"/>
        <v>0.68216453876805294</v>
      </c>
      <c r="M970">
        <f t="shared" si="124"/>
        <v>0.47683794692085019</v>
      </c>
    </row>
    <row r="971" spans="4:13" x14ac:dyDescent="0.25">
      <c r="D971">
        <v>41</v>
      </c>
      <c r="E971" s="94">
        <f t="shared" si="129"/>
        <v>0.23373250597411399</v>
      </c>
      <c r="F971">
        <f t="shared" si="127"/>
        <v>1.2409457774634995</v>
      </c>
      <c r="G971">
        <f t="shared" si="128"/>
        <v>1.0104782836677961</v>
      </c>
      <c r="H971" s="94">
        <f t="shared" si="125"/>
        <v>0.22967336824385787</v>
      </c>
      <c r="I971">
        <f t="shared" si="121"/>
        <v>0.75675857589427964</v>
      </c>
      <c r="J971">
        <f t="shared" si="122"/>
        <v>1.7901819213336509</v>
      </c>
      <c r="K971" s="94">
        <f t="shared" si="126"/>
        <v>0.29042086921708737</v>
      </c>
      <c r="L971">
        <f t="shared" si="123"/>
        <v>0.65010134046263501</v>
      </c>
      <c r="M971">
        <f t="shared" si="124"/>
        <v>0.42535739608601991</v>
      </c>
    </row>
    <row r="972" spans="4:13" x14ac:dyDescent="0.25">
      <c r="D972">
        <v>42</v>
      </c>
      <c r="E972" s="94">
        <f t="shared" si="129"/>
        <v>0.23957269225542424</v>
      </c>
      <c r="F972">
        <f t="shared" si="127"/>
        <v>1.1762345124945868</v>
      </c>
      <c r="G972">
        <f t="shared" si="128"/>
        <v>0.91639352305357125</v>
      </c>
      <c r="H972" s="94">
        <f t="shared" si="125"/>
        <v>0.23538405396598266</v>
      </c>
      <c r="I972">
        <f t="shared" si="121"/>
        <v>0.75030861436291418</v>
      </c>
      <c r="J972">
        <f t="shared" si="122"/>
        <v>1.7012263187705503</v>
      </c>
      <c r="K972" s="94">
        <f t="shared" si="126"/>
        <v>0.29765930587862405</v>
      </c>
      <c r="L972">
        <f t="shared" si="123"/>
        <v>0.61951201543902079</v>
      </c>
      <c r="M972">
        <f t="shared" si="124"/>
        <v>0.37882382965932937</v>
      </c>
    </row>
    <row r="973" spans="4:13" x14ac:dyDescent="0.25">
      <c r="D973">
        <v>43</v>
      </c>
      <c r="E973" s="94">
        <f t="shared" si="129"/>
        <v>0.24541287853673449</v>
      </c>
      <c r="F973">
        <f t="shared" si="127"/>
        <v>1.114437477977789</v>
      </c>
      <c r="G973">
        <f t="shared" si="128"/>
        <v>0.82979152933111888</v>
      </c>
      <c r="H973" s="94">
        <f t="shared" si="125"/>
        <v>0.24109473968810746</v>
      </c>
      <c r="I973">
        <f t="shared" si="121"/>
        <v>0.74415341362339238</v>
      </c>
      <c r="J973">
        <f t="shared" si="122"/>
        <v>1.6154489724496452</v>
      </c>
      <c r="K973" s="94">
        <f t="shared" si="126"/>
        <v>0.30489774254016072</v>
      </c>
      <c r="L973">
        <f t="shared" si="123"/>
        <v>0.59031714171996119</v>
      </c>
      <c r="M973">
        <f t="shared" si="124"/>
        <v>0.33683366693421962</v>
      </c>
    </row>
    <row r="974" spans="4:13" x14ac:dyDescent="0.25">
      <c r="D974">
        <v>44</v>
      </c>
      <c r="E974" s="94">
        <f t="shared" si="129"/>
        <v>0.25125306481804471</v>
      </c>
      <c r="F974">
        <f t="shared" si="127"/>
        <v>1.0554444755368582</v>
      </c>
      <c r="G974">
        <f t="shared" si="128"/>
        <v>0.7502287759525581</v>
      </c>
      <c r="H974" s="94">
        <f t="shared" si="125"/>
        <v>0.24680542541023226</v>
      </c>
      <c r="I974">
        <f t="shared" si="121"/>
        <v>0.73827673789050585</v>
      </c>
      <c r="J974">
        <f t="shared" si="122"/>
        <v>1.5328282557927499</v>
      </c>
      <c r="K974" s="94">
        <f t="shared" si="126"/>
        <v>0.31213617920169739</v>
      </c>
      <c r="L974">
        <f t="shared" si="123"/>
        <v>0.56244315349528573</v>
      </c>
      <c r="M974">
        <f t="shared" si="124"/>
        <v>0.29900782443543772</v>
      </c>
    </row>
    <row r="975" spans="4:13" x14ac:dyDescent="0.25">
      <c r="D975">
        <v>45</v>
      </c>
      <c r="E975" s="94">
        <f t="shared" si="129"/>
        <v>0.25709325109935494</v>
      </c>
      <c r="F975">
        <f t="shared" si="127"/>
        <v>0.99914866595216201</v>
      </c>
      <c r="G975">
        <f t="shared" si="128"/>
        <v>0.67726863243032842</v>
      </c>
      <c r="H975" s="94">
        <f t="shared" si="125"/>
        <v>0.25251611113235706</v>
      </c>
      <c r="I975">
        <f t="shared" si="121"/>
        <v>0.73266367988966219</v>
      </c>
      <c r="J975">
        <f t="shared" si="122"/>
        <v>1.4533333714379875</v>
      </c>
      <c r="K975" s="94">
        <f t="shared" si="126"/>
        <v>0.31937461586323407</v>
      </c>
      <c r="L975">
        <f t="shared" si="123"/>
        <v>0.53582176768115863</v>
      </c>
      <c r="M975">
        <f t="shared" si="124"/>
        <v>0.26499130692077633</v>
      </c>
    </row>
    <row r="976" spans="4:13" x14ac:dyDescent="0.25">
      <c r="D976">
        <v>46</v>
      </c>
      <c r="E976" s="94">
        <f t="shared" si="129"/>
        <v>0.26293343738066516</v>
      </c>
      <c r="F976">
        <f t="shared" si="127"/>
        <v>0.94544649177048534</v>
      </c>
      <c r="G976">
        <f t="shared" si="128"/>
        <v>0.61048444153478709</v>
      </c>
      <c r="H976" s="94">
        <f t="shared" si="125"/>
        <v>0.25822679685448185</v>
      </c>
      <c r="I976">
        <f t="shared" si="121"/>
        <v>0.72730052847439253</v>
      </c>
      <c r="J976">
        <f t="shared" si="122"/>
        <v>1.3769254789316003</v>
      </c>
      <c r="K976" s="94">
        <f t="shared" si="126"/>
        <v>0.32661305252477074</v>
      </c>
      <c r="L976">
        <f t="shared" si="123"/>
        <v>0.5103894790323189</v>
      </c>
      <c r="M976">
        <f t="shared" si="124"/>
        <v>0.23445262283374521</v>
      </c>
    </row>
    <row r="977" spans="4:13" x14ac:dyDescent="0.25">
      <c r="D977">
        <v>47</v>
      </c>
      <c r="E977" s="94">
        <f t="shared" si="129"/>
        <v>0.26877362366197538</v>
      </c>
      <c r="F977">
        <f t="shared" si="127"/>
        <v>0.89423760111272321</v>
      </c>
      <c r="G977">
        <f t="shared" si="128"/>
        <v>0.54946198501381494</v>
      </c>
      <c r="H977" s="94">
        <f t="shared" si="125"/>
        <v>0.26393748257660665</v>
      </c>
      <c r="I977">
        <f t="shared" si="121"/>
        <v>0.72217465215985799</v>
      </c>
      <c r="J977">
        <f t="shared" si="122"/>
        <v>1.3035587172745711</v>
      </c>
      <c r="K977" s="94">
        <f t="shared" si="126"/>
        <v>0.33385148918630742</v>
      </c>
      <c r="L977">
        <f t="shared" si="123"/>
        <v>0.48608711425127099</v>
      </c>
      <c r="M977">
        <f t="shared" si="124"/>
        <v>0.20708306189220335</v>
      </c>
    </row>
    <row r="978" spans="4:13" x14ac:dyDescent="0.25">
      <c r="D978">
        <v>48</v>
      </c>
      <c r="E978" s="94">
        <f t="shared" si="129"/>
        <v>0.2746138099432856</v>
      </c>
      <c r="F978">
        <f t="shared" si="127"/>
        <v>0.84542477267011296</v>
      </c>
      <c r="G978">
        <f t="shared" si="128"/>
        <v>0.49380141626920865</v>
      </c>
      <c r="H978" s="94">
        <f t="shared" si="125"/>
        <v>0.26964816829873145</v>
      </c>
      <c r="I978">
        <f t="shared" si="121"/>
        <v>0.71727439636823709</v>
      </c>
      <c r="J978">
        <f t="shared" si="122"/>
        <v>1.2331811325372006</v>
      </c>
      <c r="K978" s="94">
        <f t="shared" si="126"/>
        <v>0.34108992584784409</v>
      </c>
      <c r="L978">
        <f t="shared" si="123"/>
        <v>0.46285943704987537</v>
      </c>
      <c r="M978">
        <f t="shared" si="124"/>
        <v>0.18259586688188961</v>
      </c>
    </row>
    <row r="979" spans="4:13" x14ac:dyDescent="0.25">
      <c r="D979">
        <v>49</v>
      </c>
      <c r="E979" s="94">
        <f t="shared" si="129"/>
        <v>0.28045399622459583</v>
      </c>
      <c r="F979">
        <f t="shared" si="127"/>
        <v>0.79891384187966452</v>
      </c>
      <c r="G979">
        <f t="shared" si="128"/>
        <v>0.44311873036529681</v>
      </c>
      <c r="H979" s="94">
        <f t="shared" si="125"/>
        <v>0.27535885402085625</v>
      </c>
      <c r="I979">
        <f t="shared" si="121"/>
        <v>0.71258899252704744</v>
      </c>
      <c r="J979">
        <f t="shared" si="122"/>
        <v>1.1657355195744783</v>
      </c>
      <c r="K979" s="94">
        <f t="shared" si="126"/>
        <v>0.34832836250938076</v>
      </c>
      <c r="L979">
        <f t="shared" si="123"/>
        <v>0.44065479736426472</v>
      </c>
      <c r="M979">
        <f t="shared" si="124"/>
        <v>0.16072532688125704</v>
      </c>
    </row>
    <row r="980" spans="4:13" x14ac:dyDescent="0.25">
      <c r="D980">
        <v>50</v>
      </c>
      <c r="E980" s="94">
        <f t="shared" si="129"/>
        <v>0.28629418250590605</v>
      </c>
      <c r="F980">
        <f t="shared" si="127"/>
        <v>0.7546136282694561</v>
      </c>
      <c r="G980">
        <f t="shared" si="128"/>
        <v>0.39704683438551319</v>
      </c>
      <c r="H980" s="94">
        <f t="shared" si="125"/>
        <v>0.28106953974298104</v>
      </c>
      <c r="I980">
        <f t="shared" si="121"/>
        <v>0.70810847744666383</v>
      </c>
      <c r="J980">
        <f t="shared" si="122"/>
        <v>1.1011601858585256</v>
      </c>
      <c r="K980" s="94">
        <f t="shared" si="126"/>
        <v>0.35556679917091744</v>
      </c>
      <c r="L980">
        <f t="shared" si="123"/>
        <v>0.41942481895470624</v>
      </c>
      <c r="M980">
        <f t="shared" si="124"/>
        <v>0.14122581496259104</v>
      </c>
    </row>
    <row r="981" spans="4:13" x14ac:dyDescent="0.25">
      <c r="D981">
        <v>51</v>
      </c>
      <c r="E981" s="94">
        <f t="shared" si="129"/>
        <v>0.29213436878721627</v>
      </c>
      <c r="F981">
        <f t="shared" si="127"/>
        <v>0.71243586396442971</v>
      </c>
      <c r="G981">
        <f t="shared" si="128"/>
        <v>0.35523627444049188</v>
      </c>
      <c r="H981" s="94">
        <f t="shared" si="125"/>
        <v>0.28678022546510584</v>
      </c>
      <c r="I981">
        <f t="shared" si="121"/>
        <v>0.70382362163994472</v>
      </c>
      <c r="J981">
        <f t="shared" si="122"/>
        <v>1.0393896445652773</v>
      </c>
      <c r="K981" s="94">
        <f t="shared" si="126"/>
        <v>0.36280523583245411</v>
      </c>
      <c r="L981">
        <f t="shared" si="123"/>
        <v>0.39912412047871321</v>
      </c>
      <c r="M981">
        <f t="shared" si="124"/>
        <v>0.12387078980040216</v>
      </c>
    </row>
    <row r="982" spans="4:13" x14ac:dyDescent="0.25">
      <c r="D982">
        <v>52</v>
      </c>
      <c r="E982" s="94">
        <f t="shared" si="129"/>
        <v>0.29797455506852649</v>
      </c>
      <c r="F982">
        <f t="shared" si="127"/>
        <v>0.67229512334337016</v>
      </c>
      <c r="G982">
        <f t="shared" si="128"/>
        <v>0.31735566951804062</v>
      </c>
      <c r="H982" s="94">
        <f t="shared" si="125"/>
        <v>0.29249091118723064</v>
      </c>
      <c r="I982">
        <f t="shared" si="121"/>
        <v>0.69972586544403059</v>
      </c>
      <c r="J982">
        <f t="shared" si="122"/>
        <v>0.98035524328947021</v>
      </c>
      <c r="K982" s="94">
        <f t="shared" si="126"/>
        <v>0.37004367249399078</v>
      </c>
      <c r="L982">
        <f t="shared" si="123"/>
        <v>0.37971006584052025</v>
      </c>
      <c r="M982">
        <f t="shared" si="124"/>
        <v>0.10845177749241051</v>
      </c>
    </row>
    <row r="983" spans="4:13" x14ac:dyDescent="0.25">
      <c r="D983">
        <v>53</v>
      </c>
      <c r="E983" s="94">
        <f t="shared" si="129"/>
        <v>0.30381474134983671</v>
      </c>
      <c r="F983">
        <f t="shared" si="127"/>
        <v>0.6341087538376976</v>
      </c>
      <c r="G983">
        <f t="shared" si="128"/>
        <v>0.28309189680519398</v>
      </c>
      <c r="H983" s="94">
        <f t="shared" si="125"/>
        <v>0.29820159690935544</v>
      </c>
      <c r="I983">
        <f t="shared" si="121"/>
        <v>0.69580726196925347</v>
      </c>
      <c r="J983">
        <f t="shared" si="122"/>
        <v>0.92398573409716422</v>
      </c>
      <c r="K983" s="94">
        <f t="shared" si="126"/>
        <v>0.37728210915552746</v>
      </c>
      <c r="L983">
        <f t="shared" si="123"/>
        <v>0.36114254021889364</v>
      </c>
      <c r="M983">
        <f t="shared" si="124"/>
        <v>9.477734719454016E-2</v>
      </c>
    </row>
    <row r="984" spans="4:13" x14ac:dyDescent="0.25">
      <c r="D984">
        <v>54</v>
      </c>
      <c r="E984" s="94">
        <f t="shared" si="129"/>
        <v>0.30965492763114694</v>
      </c>
      <c r="F984">
        <f t="shared" si="127"/>
        <v>0.59779680786275169</v>
      </c>
      <c r="G984">
        <f t="shared" si="128"/>
        <v>0.25215006806312623</v>
      </c>
      <c r="H984" s="94">
        <f t="shared" si="125"/>
        <v>0.30391228263148024</v>
      </c>
      <c r="I984">
        <f t="shared" si="121"/>
        <v>0.69206042603850337</v>
      </c>
      <c r="J984">
        <f t="shared" si="122"/>
        <v>0.87020779004376703</v>
      </c>
      <c r="K984" s="94">
        <f t="shared" si="126"/>
        <v>0.38452054581706413</v>
      </c>
      <c r="L984">
        <f t="shared" si="123"/>
        <v>0.34338374867871846</v>
      </c>
      <c r="M984">
        <f t="shared" si="124"/>
        <v>8.2672091832451639E-2</v>
      </c>
    </row>
    <row r="985" spans="4:13" x14ac:dyDescent="0.25">
      <c r="D985">
        <v>55</v>
      </c>
      <c r="E985" s="94">
        <f t="shared" si="129"/>
        <v>0.31549511391245716</v>
      </c>
      <c r="F985">
        <f t="shared" si="127"/>
        <v>0.56328197587221174</v>
      </c>
      <c r="G985">
        <f t="shared" si="128"/>
        <v>0.22425333205687256</v>
      </c>
      <c r="H985" s="94">
        <f t="shared" si="125"/>
        <v>0.30962296835360503</v>
      </c>
      <c r="I985">
        <f t="shared" si="121"/>
        <v>0.68847848839698655</v>
      </c>
      <c r="J985">
        <f t="shared" si="122"/>
        <v>0.81894647277558141</v>
      </c>
      <c r="K985" s="94">
        <f t="shared" si="126"/>
        <v>0.3917589824786008</v>
      </c>
      <c r="L985">
        <f t="shared" si="123"/>
        <v>0.32639803469668827</v>
      </c>
      <c r="M985">
        <f t="shared" si="124"/>
        <v>7.1975623130124219E-2</v>
      </c>
    </row>
    <row r="986" spans="4:13" x14ac:dyDescent="0.25">
      <c r="D986">
        <v>56</v>
      </c>
      <c r="E986" s="94">
        <f t="shared" si="129"/>
        <v>0.32133530019376738</v>
      </c>
      <c r="F986">
        <f t="shared" si="127"/>
        <v>0.53048952052630982</v>
      </c>
      <c r="G986">
        <f t="shared" si="128"/>
        <v>0.19914253389657915</v>
      </c>
      <c r="H986" s="94">
        <f t="shared" si="125"/>
        <v>0.31533365407572983</v>
      </c>
      <c r="I986">
        <f t="shared" si="121"/>
        <v>0.68505505457085769</v>
      </c>
      <c r="J986">
        <f t="shared" si="122"/>
        <v>0.77012565538405664</v>
      </c>
      <c r="K986" s="94">
        <f t="shared" si="126"/>
        <v>0.39899741914013748</v>
      </c>
      <c r="L986">
        <f t="shared" si="123"/>
        <v>0.31015171629111937</v>
      </c>
      <c r="M986">
        <f t="shared" si="124"/>
        <v>6.2541588449409824E-2</v>
      </c>
    </row>
    <row r="987" spans="4:13" x14ac:dyDescent="0.25">
      <c r="D987">
        <v>57</v>
      </c>
      <c r="E987" s="94">
        <f t="shared" si="129"/>
        <v>0.3271754864750776</v>
      </c>
      <c r="F987">
        <f t="shared" si="127"/>
        <v>0.49934721196450149</v>
      </c>
      <c r="G987">
        <f t="shared" si="128"/>
        <v>0.17657575840059445</v>
      </c>
      <c r="H987" s="94">
        <f t="shared" si="125"/>
        <v>0.32104433979785463</v>
      </c>
      <c r="I987">
        <f t="shared" si="121"/>
        <v>0.68178416783680007</v>
      </c>
      <c r="J987">
        <f t="shared" si="122"/>
        <v>0.72366840428564261</v>
      </c>
      <c r="K987" s="94">
        <f t="shared" si="126"/>
        <v>0.40623585580167415</v>
      </c>
      <c r="L987">
        <f t="shared" si="123"/>
        <v>0.29461293775150954</v>
      </c>
      <c r="M987">
        <f t="shared" si="124"/>
        <v>5.4236715427924014E-2</v>
      </c>
    </row>
    <row r="988" spans="4:13" x14ac:dyDescent="0.25">
      <c r="D988">
        <v>58</v>
      </c>
      <c r="E988" s="94">
        <f t="shared" si="129"/>
        <v>0.33301567275638783</v>
      </c>
      <c r="F988">
        <f t="shared" si="127"/>
        <v>0.46978526417324162</v>
      </c>
      <c r="G988">
        <f t="shared" si="128"/>
        <v>0.15632778121077223</v>
      </c>
      <c r="H988" s="94">
        <f t="shared" si="125"/>
        <v>0.32675502551997943</v>
      </c>
      <c r="I988">
        <f t="shared" si="121"/>
        <v>0.67866027583572508</v>
      </c>
      <c r="J988">
        <f t="shared" si="122"/>
        <v>0.67949732354919801</v>
      </c>
      <c r="K988" s="94">
        <f t="shared" si="126"/>
        <v>0.41347429246321082</v>
      </c>
      <c r="L988">
        <f t="shared" si="123"/>
        <v>0.27975153522384122</v>
      </c>
      <c r="M988">
        <f t="shared" si="124"/>
        <v>4.6939889105395226E-2</v>
      </c>
    </row>
    <row r="989" spans="4:13" x14ac:dyDescent="0.25">
      <c r="D989">
        <v>59</v>
      </c>
      <c r="E989" s="94">
        <f t="shared" si="129"/>
        <v>0.33885585903769805</v>
      </c>
      <c r="F989">
        <f t="shared" si="127"/>
        <v>0.4417362724395264</v>
      </c>
      <c r="G989">
        <f t="shared" si="128"/>
        <v>0.13818944834683694</v>
      </c>
      <c r="H989" s="94">
        <f t="shared" si="125"/>
        <v>0.33246571124210422</v>
      </c>
      <c r="I989">
        <f t="shared" si="121"/>
        <v>0.67567820042445026</v>
      </c>
      <c r="J989">
        <f t="shared" si="122"/>
        <v>0.63753486478118049</v>
      </c>
      <c r="K989" s="94">
        <f t="shared" si="126"/>
        <v>0.4207127291247475</v>
      </c>
      <c r="L989">
        <f t="shared" si="123"/>
        <v>0.265538914630224</v>
      </c>
      <c r="M989">
        <f t="shared" si="124"/>
        <v>4.0541265114254085E-2</v>
      </c>
    </row>
    <row r="990" spans="4:13" x14ac:dyDescent="0.25">
      <c r="D990">
        <v>60</v>
      </c>
      <c r="E990" s="94">
        <f t="shared" si="129"/>
        <v>0.34469604531900827</v>
      </c>
      <c r="F990">
        <f t="shared" si="127"/>
        <v>0.4151351518808577</v>
      </c>
      <c r="G990">
        <f t="shared" si="128"/>
        <v>0.12196700215148197</v>
      </c>
      <c r="H990" s="94">
        <f t="shared" si="125"/>
        <v>0.33817639696422902</v>
      </c>
      <c r="I990">
        <f t="shared" si="121"/>
        <v>0.67283311041115446</v>
      </c>
      <c r="J990">
        <f t="shared" si="122"/>
        <v>0.59770360540118272</v>
      </c>
      <c r="K990" s="94">
        <f t="shared" si="126"/>
        <v>0.42795116578628417</v>
      </c>
      <c r="L990">
        <f t="shared" si="123"/>
        <v>0.2519479405922595</v>
      </c>
      <c r="M990">
        <f t="shared" si="124"/>
        <v>3.4941421555740045E-2</v>
      </c>
    </row>
    <row r="991" spans="4:13" x14ac:dyDescent="0.25">
      <c r="D991">
        <v>61</v>
      </c>
      <c r="E991" s="94">
        <f t="shared" si="129"/>
        <v>0.35053623160031849</v>
      </c>
      <c r="F991">
        <f t="shared" si="127"/>
        <v>0.3899190770422859</v>
      </c>
      <c r="G991">
        <f t="shared" si="128"/>
        <v>0.10748136912502555</v>
      </c>
      <c r="H991" s="94">
        <f t="shared" si="125"/>
        <v>0.34388708268635382</v>
      </c>
      <c r="I991">
        <f t="shared" si="121"/>
        <v>0.67012049686499342</v>
      </c>
      <c r="J991">
        <f t="shared" si="122"/>
        <v>0.55992649789239313</v>
      </c>
      <c r="K991" s="94">
        <f t="shared" si="126"/>
        <v>0.43518960244782084</v>
      </c>
      <c r="L991">
        <f t="shared" si="123"/>
        <v>0.2389528351915608</v>
      </c>
      <c r="M991">
        <f t="shared" si="124"/>
        <v>3.0050551368179242E-2</v>
      </c>
    </row>
    <row r="992" spans="4:13" x14ac:dyDescent="0.25">
      <c r="D992">
        <v>62</v>
      </c>
      <c r="E992" s="94">
        <f t="shared" si="129"/>
        <v>0.35637641788162872</v>
      </c>
      <c r="F992">
        <f t="shared" si="127"/>
        <v>0.36602742255118659</v>
      </c>
      <c r="G992">
        <f t="shared" si="128"/>
        <v>9.4567422953728969E-2</v>
      </c>
      <c r="H992" s="94">
        <f t="shared" si="125"/>
        <v>0.34959776840847862</v>
      </c>
      <c r="I992">
        <f t="shared" si="121"/>
        <v>0.66753615072863237</v>
      </c>
      <c r="J992">
        <f t="shared" si="122"/>
        <v>0.52412709238949007</v>
      </c>
      <c r="K992" s="94">
        <f t="shared" si="126"/>
        <v>0.44242803910935752</v>
      </c>
      <c r="L992">
        <f t="shared" si="123"/>
        <v>0.22652908554224233</v>
      </c>
      <c r="M992">
        <f t="shared" si="124"/>
        <v>2.5787696301824634E-2</v>
      </c>
    </row>
    <row r="993" spans="4:13" x14ac:dyDescent="0.25">
      <c r="D993">
        <v>63</v>
      </c>
      <c r="E993" s="94">
        <f t="shared" si="129"/>
        <v>0.36221660416293894</v>
      </c>
      <c r="F993">
        <f t="shared" si="127"/>
        <v>0.34340170482043092</v>
      </c>
      <c r="G993">
        <f t="shared" si="128"/>
        <v>8.3073234076859376E-2</v>
      </c>
      <c r="H993" s="94">
        <f t="shared" si="125"/>
        <v>0.35530845413060341</v>
      </c>
      <c r="I993">
        <f t="shared" si="121"/>
        <v>0.66507614249558267</v>
      </c>
      <c r="J993">
        <f t="shared" si="122"/>
        <v>0.49022973476711312</v>
      </c>
      <c r="K993" s="94">
        <f t="shared" si="126"/>
        <v>0.44966647577089419</v>
      </c>
      <c r="L993">
        <f t="shared" si="123"/>
        <v>0.21465335927242052</v>
      </c>
      <c r="M993">
        <f t="shared" si="124"/>
        <v>2.208002302951291E-2</v>
      </c>
    </row>
    <row r="994" spans="4:13" x14ac:dyDescent="0.25">
      <c r="D994">
        <v>64</v>
      </c>
      <c r="E994" s="94">
        <f t="shared" si="129"/>
        <v>0.36805679044424916</v>
      </c>
      <c r="F994">
        <f t="shared" si="127"/>
        <v>0.32198552479060216</v>
      </c>
      <c r="G994">
        <f t="shared" si="128"/>
        <v>7.2859315393433474E-2</v>
      </c>
      <c r="H994" s="94">
        <f t="shared" si="125"/>
        <v>0.36101913985272821</v>
      </c>
      <c r="I994">
        <f t="shared" si="121"/>
        <v>0.6627368037428879</v>
      </c>
      <c r="J994">
        <f t="shared" si="122"/>
        <v>0.45815974221261835</v>
      </c>
      <c r="K994" s="94">
        <f t="shared" si="126"/>
        <v>0.45690491243243087</v>
      </c>
      <c r="L994">
        <f t="shared" si="123"/>
        <v>0.20330342711764324</v>
      </c>
      <c r="M994">
        <f t="shared" si="124"/>
        <v>1.8862141430941719E-2</v>
      </c>
    </row>
    <row r="995" spans="4:13" x14ac:dyDescent="0.25">
      <c r="D995">
        <v>65</v>
      </c>
      <c r="E995" s="94">
        <f t="shared" si="129"/>
        <v>0.37389697672555938</v>
      </c>
      <c r="F995">
        <f t="shared" ref="F995:F1030" si="130">(1/EXP(GAMMALN($B$936)+GAMMALN($B$937)-GAMMALN($B$936+$B$937)))*$E995^($B$936-1)*(1-$E995)^($B$937-1)</f>
        <v>0.30172451170191694</v>
      </c>
      <c r="G995">
        <f t="shared" ref="G995:G1030" si="131">(1/EXP(GAMMALN($B$938)+GAMMALN($B$939)-GAMMALN($B$938+$B$939)))*$E995^($B$938-1)*(1-$E995)^($B$939-1)</f>
        <v>6.3797872161066388E-2</v>
      </c>
      <c r="H995" s="94">
        <f t="shared" si="125"/>
        <v>0.36672982557485301</v>
      </c>
      <c r="I995">
        <f t="shared" si="121"/>
        <v>0.66051471033458242</v>
      </c>
      <c r="J995">
        <f t="shared" si="122"/>
        <v>0.42784355810496177</v>
      </c>
      <c r="K995" s="94">
        <f t="shared" si="126"/>
        <v>0.46414334909396754</v>
      </c>
      <c r="L995">
        <f t="shared" si="123"/>
        <v>0.19245809192116031</v>
      </c>
      <c r="M995">
        <f t="shared" si="124"/>
        <v>1.6075464678879794E-2</v>
      </c>
    </row>
    <row r="996" spans="4:13" x14ac:dyDescent="0.25">
      <c r="D996">
        <v>66</v>
      </c>
      <c r="E996" s="94">
        <f t="shared" ref="E996:E1030" si="132">E995+$B$940</f>
        <v>0.3797371630068696</v>
      </c>
      <c r="F996">
        <f t="shared" si="130"/>
        <v>0.28256626788650951</v>
      </c>
      <c r="G996">
        <f t="shared" si="131"/>
        <v>5.577206276863058E-2</v>
      </c>
      <c r="H996" s="94">
        <f t="shared" si="125"/>
        <v>0.37244051129697781</v>
      </c>
      <c r="I996">
        <f t="shared" ref="I996:I1030" si="133">(1/EXP(GAMMALN($B$944)+GAMMALN($B$945)-GAMMALN($B$944+$B$945)))*$H996^($B$944-1)*(1-$H996)^($B$945-1)</f>
        <v>0.65840666713297236</v>
      </c>
      <c r="J996">
        <f t="shared" ref="J996:J1030" si="134">(1/EXP(GAMMALN($B$946)+GAMMALN($B$947)-GAMMALN($B$946+$B$947)))*$H996^($B$946-1)*(1-$H996)^($B$947-1)</f>
        <v>0.39920888787521613</v>
      </c>
      <c r="K996" s="94">
        <f t="shared" si="126"/>
        <v>0.47138178575550421</v>
      </c>
      <c r="L996">
        <f t="shared" ref="L996:L1030" si="135">(1/EXP(GAMMALN($B$952)+GAMMALN($B$953)-GAMMALN($B$952+$B$953)))*$K996^($B$952-1)*(1-$K996)^($B$953-1)</f>
        <v>0.18209712341601647</v>
      </c>
      <c r="M996">
        <f t="shared" ref="M996:M1030" si="136">(1/EXP(GAMMALN($B$954)+GAMMALN($B$955)-GAMMALN($B$954+$B$955)))*$K996^($B$954-1)*(1-$K996)^($B$955-1)</f>
        <v>1.3667610417698137E-2</v>
      </c>
    </row>
    <row r="997" spans="4:13" x14ac:dyDescent="0.25">
      <c r="D997">
        <v>67</v>
      </c>
      <c r="E997" s="94">
        <f t="shared" si="132"/>
        <v>0.38557734928817983</v>
      </c>
      <c r="F997">
        <f t="shared" si="130"/>
        <v>0.26446031457173191</v>
      </c>
      <c r="G997">
        <f t="shared" si="131"/>
        <v>4.8675275855051797E-2</v>
      </c>
      <c r="H997" s="94">
        <f t="shared" ref="H997:H1030" si="137">H996+$B$948</f>
        <v>0.3781511970191026</v>
      </c>
      <c r="I997">
        <f t="shared" si="133"/>
        <v>0.65640969407366456</v>
      </c>
      <c r="J997">
        <f t="shared" si="134"/>
        <v>0.37218481739161402</v>
      </c>
      <c r="K997" s="94">
        <f t="shared" ref="K997:K1030" si="138">K996+$B$956</f>
        <v>0.47862022241704089</v>
      </c>
      <c r="L997">
        <f t="shared" si="135"/>
        <v>0.17220119823384994</v>
      </c>
      <c r="M997">
        <f t="shared" si="136"/>
        <v>1.1591842049163794E-2</v>
      </c>
    </row>
    <row r="998" spans="4:13" x14ac:dyDescent="0.25">
      <c r="D998">
        <v>68</v>
      </c>
      <c r="E998" s="94">
        <f t="shared" si="132"/>
        <v>0.39141753556949005</v>
      </c>
      <c r="F998">
        <f t="shared" si="130"/>
        <v>0.24735803868512893</v>
      </c>
      <c r="G998">
        <f t="shared" si="131"/>
        <v>4.2410428183330837E-2</v>
      </c>
      <c r="H998" s="94">
        <f t="shared" si="137"/>
        <v>0.3838618827412274</v>
      </c>
      <c r="I998">
        <f t="shared" si="133"/>
        <v>0.65452101347674774</v>
      </c>
      <c r="J998">
        <f t="shared" si="134"/>
        <v>0.34670191529157623</v>
      </c>
      <c r="K998" s="94">
        <f t="shared" si="138"/>
        <v>0.48585865907857756</v>
      </c>
      <c r="L998">
        <f t="shared" si="135"/>
        <v>0.16275184464638734</v>
      </c>
      <c r="M998">
        <f t="shared" si="136"/>
        <v>9.8065489193867022E-3</v>
      </c>
    </row>
    <row r="999" spans="4:13" x14ac:dyDescent="0.25">
      <c r="D999">
        <v>69</v>
      </c>
      <c r="E999" s="94">
        <f t="shared" si="132"/>
        <v>0.39725772185080027</v>
      </c>
      <c r="F999">
        <f t="shared" si="130"/>
        <v>0.2312126406517441</v>
      </c>
      <c r="G999">
        <f t="shared" si="131"/>
        <v>3.6889286747767376E-2</v>
      </c>
      <c r="H999" s="94">
        <f t="shared" si="137"/>
        <v>0.3895725684633522</v>
      </c>
      <c r="I999">
        <f t="shared" si="133"/>
        <v>0.65273803848099898</v>
      </c>
      <c r="J999">
        <f t="shared" si="134"/>
        <v>0.32269232057361658</v>
      </c>
      <c r="K999" s="94">
        <f t="shared" si="138"/>
        <v>0.49309709574011423</v>
      </c>
      <c r="L999">
        <f t="shared" si="135"/>
        <v>0.15373139159921734</v>
      </c>
      <c r="M999">
        <f t="shared" si="136"/>
        <v>8.2747640270713976E-3</v>
      </c>
    </row>
    <row r="1000" spans="4:13" x14ac:dyDescent="0.25">
      <c r="D1000">
        <v>70</v>
      </c>
      <c r="E1000" s="94">
        <f t="shared" si="132"/>
        <v>0.40309790813211049</v>
      </c>
      <c r="F1000">
        <f t="shared" si="130"/>
        <v>0.21597908317441328</v>
      </c>
      <c r="G1000">
        <f t="shared" si="131"/>
        <v>3.2031817780478082E-2</v>
      </c>
      <c r="H1000" s="94">
        <f t="shared" si="137"/>
        <v>0.395283254185477</v>
      </c>
      <c r="I1000">
        <f t="shared" si="133"/>
        <v>0.65105836250066795</v>
      </c>
      <c r="J1000">
        <f t="shared" si="134"/>
        <v>0.30008981666211104</v>
      </c>
      <c r="K1000" s="94">
        <f t="shared" si="138"/>
        <v>0.50033553240165096</v>
      </c>
      <c r="L1000">
        <f t="shared" si="135"/>
        <v>0.14512292164446314</v>
      </c>
      <c r="M1000">
        <f t="shared" si="136"/>
        <v>6.9637177404910352E-3</v>
      </c>
    </row>
    <row r="1001" spans="4:13" x14ac:dyDescent="0.25">
      <c r="D1001">
        <v>71</v>
      </c>
      <c r="E1001" s="94">
        <f t="shared" si="132"/>
        <v>0.40893809441342072</v>
      </c>
      <c r="F1001">
        <f t="shared" si="130"/>
        <v>0.20161404098770111</v>
      </c>
      <c r="G1001">
        <f t="shared" si="131"/>
        <v>2.7765564618780283E-2</v>
      </c>
      <c r="H1001" s="94">
        <f t="shared" si="137"/>
        <v>0.40099393990760179</v>
      </c>
      <c r="I1001">
        <f t="shared" si="133"/>
        <v>0.64947974961558874</v>
      </c>
      <c r="J1001">
        <f t="shared" si="134"/>
        <v>0.27882989306666406</v>
      </c>
      <c r="K1001" s="94">
        <f t="shared" si="138"/>
        <v>0.50757396906318764</v>
      </c>
      <c r="L1001">
        <f t="shared" si="135"/>
        <v>0.13691022742040637</v>
      </c>
      <c r="M1001">
        <f t="shared" si="136"/>
        <v>5.844425913329245E-3</v>
      </c>
    </row>
    <row r="1002" spans="4:13" x14ac:dyDescent="0.25">
      <c r="D1002">
        <v>72</v>
      </c>
      <c r="E1002" s="94">
        <f t="shared" si="132"/>
        <v>0.41477828069473094</v>
      </c>
      <c r="F1002">
        <f t="shared" si="130"/>
        <v>0.1880758515761396</v>
      </c>
      <c r="G1002">
        <f t="shared" si="131"/>
        <v>2.4025055786958217E-2</v>
      </c>
      <c r="H1002" s="94">
        <f t="shared" si="137"/>
        <v>0.40670462562972659</v>
      </c>
      <c r="I1002">
        <f t="shared" si="133"/>
        <v>0.6480001258152337</v>
      </c>
      <c r="J1002">
        <f t="shared" si="134"/>
        <v>0.25884979567428534</v>
      </c>
      <c r="K1002" s="94">
        <f t="shared" si="138"/>
        <v>0.51481240572472431</v>
      </c>
      <c r="L1002">
        <f t="shared" si="135"/>
        <v>0.12907777136261633</v>
      </c>
      <c r="M1002">
        <f t="shared" si="136"/>
        <v>4.8913107227939855E-3</v>
      </c>
    </row>
    <row r="1003" spans="4:13" x14ac:dyDescent="0.25">
      <c r="D1003">
        <v>73</v>
      </c>
      <c r="E1003" s="94">
        <f t="shared" si="132"/>
        <v>0.42061846697604116</v>
      </c>
      <c r="F1003">
        <f t="shared" si="130"/>
        <v>0.17532446684742187</v>
      </c>
      <c r="G1003">
        <f t="shared" si="131"/>
        <v>2.0751244124346372E-2</v>
      </c>
      <c r="H1003" s="94">
        <f t="shared" si="137"/>
        <v>0.41241531135185139</v>
      </c>
      <c r="I1003">
        <f t="shared" si="133"/>
        <v>0.64661757102606343</v>
      </c>
      <c r="J1003">
        <f t="shared" si="134"/>
        <v>0.24008856663603567</v>
      </c>
      <c r="K1003" s="94">
        <f t="shared" si="138"/>
        <v>0.52205084238626098</v>
      </c>
      <c r="L1003">
        <f t="shared" si="135"/>
        <v>0.12161064836341996</v>
      </c>
      <c r="M1003">
        <f t="shared" si="136"/>
        <v>4.0818525128538154E-3</v>
      </c>
    </row>
    <row r="1004" spans="4:13" x14ac:dyDescent="0.25">
      <c r="D1004">
        <v>74</v>
      </c>
      <c r="E1004" s="94">
        <f t="shared" si="132"/>
        <v>0.42645865325735138</v>
      </c>
      <c r="F1004">
        <f t="shared" si="130"/>
        <v>0.16332140575121099</v>
      </c>
      <c r="G1004">
        <f t="shared" si="131"/>
        <v>1.789097734740526E-2</v>
      </c>
      <c r="H1004" s="94">
        <f t="shared" si="137"/>
        <v>0.41812599707397619</v>
      </c>
      <c r="I1004">
        <f t="shared" si="133"/>
        <v>0.64533031185929113</v>
      </c>
      <c r="J1004">
        <f t="shared" si="134"/>
        <v>0.22248707473949417</v>
      </c>
      <c r="K1004" s="94">
        <f t="shared" si="138"/>
        <v>0.52928927904779766</v>
      </c>
      <c r="L1004">
        <f t="shared" si="135"/>
        <v>0.11449455112509807</v>
      </c>
      <c r="M1004">
        <f t="shared" si="136"/>
        <v>3.396270907223184E-3</v>
      </c>
    </row>
    <row r="1005" spans="4:13" x14ac:dyDescent="0.25">
      <c r="D1005">
        <v>75</v>
      </c>
      <c r="E1005" s="94">
        <f t="shared" si="132"/>
        <v>0.43229883953866161</v>
      </c>
      <c r="F1005">
        <f t="shared" si="130"/>
        <v>0.15202970783421832</v>
      </c>
      <c r="G1005">
        <f t="shared" si="131"/>
        <v>1.5396500058152482E-2</v>
      </c>
      <c r="H1005" s="94">
        <f t="shared" si="137"/>
        <v>0.42383668279610098</v>
      </c>
      <c r="I1005">
        <f t="shared" si="133"/>
        <v>0.64413671502307857</v>
      </c>
      <c r="J1005">
        <f t="shared" si="134"/>
        <v>0.20598803709374064</v>
      </c>
      <c r="K1005" s="94">
        <f t="shared" si="138"/>
        <v>0.53652771570933433</v>
      </c>
      <c r="L1005">
        <f t="shared" si="135"/>
        <v>0.10771573797752183</v>
      </c>
      <c r="M1005">
        <f t="shared" si="136"/>
        <v>2.8172334574275673E-3</v>
      </c>
    </row>
    <row r="1006" spans="4:13" x14ac:dyDescent="0.25">
      <c r="D1006">
        <v>76</v>
      </c>
      <c r="E1006" s="94">
        <f t="shared" si="132"/>
        <v>0.43813902581997183</v>
      </c>
      <c r="F1006">
        <f t="shared" si="130"/>
        <v>0.14141388772220809</v>
      </c>
      <c r="G1006">
        <f t="shared" si="131"/>
        <v>1.3224986897309856E-2</v>
      </c>
      <c r="H1006" s="94">
        <f t="shared" si="137"/>
        <v>0.42954736851822578</v>
      </c>
      <c r="I1006">
        <f t="shared" si="133"/>
        <v>0.64303528134934584</v>
      </c>
      <c r="J1006">
        <f t="shared" si="134"/>
        <v>0.19053603289396784</v>
      </c>
      <c r="K1006" s="94">
        <f t="shared" si="138"/>
        <v>0.543766152370871</v>
      </c>
      <c r="L1006">
        <f t="shared" si="135"/>
        <v>0.10126100295344106</v>
      </c>
      <c r="M1006">
        <f t="shared" si="136"/>
        <v>2.3295901078998699E-3</v>
      </c>
    </row>
    <row r="1007" spans="4:13" x14ac:dyDescent="0.25">
      <c r="D1007">
        <v>77</v>
      </c>
      <c r="E1007" s="94">
        <f t="shared" si="132"/>
        <v>0.44397921210128205</v>
      </c>
      <c r="F1007">
        <f t="shared" si="130"/>
        <v>0.13143989051958593</v>
      </c>
      <c r="G1007">
        <f t="shared" si="131"/>
        <v>1.133810628086679E-2</v>
      </c>
      <c r="H1007" s="94">
        <f t="shared" si="137"/>
        <v>0.43525805424035058</v>
      </c>
      <c r="I1007">
        <f t="shared" si="133"/>
        <v>0.64202464039090434</v>
      </c>
      <c r="J1007">
        <f t="shared" si="134"/>
        <v>0.17607750997787636</v>
      </c>
      <c r="K1007" s="94">
        <f t="shared" si="138"/>
        <v>0.55100458903240768</v>
      </c>
      <c r="L1007">
        <f t="shared" si="135"/>
        <v>9.5117647934650787E-2</v>
      </c>
      <c r="M1007">
        <f t="shared" si="136"/>
        <v>1.9201317899390619E-3</v>
      </c>
    </row>
    <row r="1008" spans="4:13" x14ac:dyDescent="0.25">
      <c r="D1008">
        <v>78</v>
      </c>
      <c r="E1008" s="94">
        <f t="shared" si="132"/>
        <v>0.44981939838259227</v>
      </c>
      <c r="F1008">
        <f t="shared" si="130"/>
        <v>0.12207504811722665</v>
      </c>
      <c r="G1008">
        <f t="shared" si="131"/>
        <v>9.7016139470997732E-3</v>
      </c>
      <c r="H1008" s="94">
        <f t="shared" si="137"/>
        <v>0.44096873996247538</v>
      </c>
      <c r="I1008">
        <f t="shared" si="133"/>
        <v>0.64110354554957416</v>
      </c>
      <c r="J1008">
        <f t="shared" si="134"/>
        <v>0.16256078483524067</v>
      </c>
      <c r="K1008" s="94">
        <f t="shared" si="138"/>
        <v>0.55824302569394435</v>
      </c>
      <c r="L1008">
        <f t="shared" si="135"/>
        <v>8.9273456700105683E-2</v>
      </c>
      <c r="M1008">
        <f t="shared" si="136"/>
        <v>1.5773714971568367E-3</v>
      </c>
    </row>
    <row r="1009" spans="4:13" x14ac:dyDescent="0.25">
      <c r="D1009">
        <v>79</v>
      </c>
      <c r="E1009" s="94">
        <f t="shared" si="132"/>
        <v>0.45565958466390249</v>
      </c>
      <c r="F1009">
        <f t="shared" si="130"/>
        <v>0.11328803639919853</v>
      </c>
      <c r="G1009">
        <f t="shared" si="131"/>
        <v>8.2849753716738393E-3</v>
      </c>
      <c r="H1009" s="94">
        <f t="shared" si="137"/>
        <v>0.44667942568460017</v>
      </c>
      <c r="I1009">
        <f t="shared" si="133"/>
        <v>0.64027086970043012</v>
      </c>
      <c r="J1009">
        <f t="shared" si="134"/>
        <v>0.14993603668503189</v>
      </c>
      <c r="K1009" s="94">
        <f t="shared" si="138"/>
        <v>0.56548146235548102</v>
      </c>
      <c r="L1009">
        <f t="shared" si="135"/>
        <v>8.3716670722978934E-2</v>
      </c>
      <c r="M1009">
        <f t="shared" si="136"/>
        <v>1.291346244684954E-3</v>
      </c>
    </row>
    <row r="1010" spans="4:13" x14ac:dyDescent="0.25">
      <c r="D1010">
        <v>80</v>
      </c>
      <c r="E1010" s="94">
        <f t="shared" si="132"/>
        <v>0.46149977094521272</v>
      </c>
      <c r="F1010">
        <f t="shared" si="130"/>
        <v>0.10504883333904051</v>
      </c>
      <c r="G1010">
        <f t="shared" si="131"/>
        <v>7.0610159760597447E-3</v>
      </c>
      <c r="H1010" s="94">
        <f t="shared" si="137"/>
        <v>0.45239011140672497</v>
      </c>
      <c r="I1010">
        <f t="shared" si="133"/>
        <v>0.63952560128136637</v>
      </c>
      <c r="J1010">
        <f t="shared" si="134"/>
        <v>0.13815529619098085</v>
      </c>
      <c r="K1010" s="94">
        <f t="shared" si="138"/>
        <v>0.5727198990170177</v>
      </c>
      <c r="L1010">
        <f t="shared" si="135"/>
        <v>7.843596657790336E-2</v>
      </c>
      <c r="M1010">
        <f t="shared" si="136"/>
        <v>1.0534383711016389E-3</v>
      </c>
    </row>
    <row r="1011" spans="4:13" x14ac:dyDescent="0.25">
      <c r="D1011">
        <v>81</v>
      </c>
      <c r="E1011" s="94">
        <f t="shared" si="132"/>
        <v>0.46733995722652294</v>
      </c>
      <c r="F1011">
        <f t="shared" si="130"/>
        <v>9.7328677976248279E-2</v>
      </c>
      <c r="G1011">
        <f t="shared" si="131"/>
        <v>6.0055979544096985E-3</v>
      </c>
      <c r="H1011" s="94">
        <f t="shared" si="137"/>
        <v>0.45810079712884977</v>
      </c>
      <c r="I1011">
        <f t="shared" si="133"/>
        <v>0.63886684082086065</v>
      </c>
      <c r="J1011">
        <f t="shared" si="134"/>
        <v>0.12717242934607481</v>
      </c>
      <c r="K1011" s="94">
        <f t="shared" si="138"/>
        <v>0.57995833567855437</v>
      </c>
      <c r="L1011">
        <f t="shared" si="135"/>
        <v>7.3420434832386069E-2</v>
      </c>
      <c r="M1011">
        <f t="shared" si="136"/>
        <v>8.5621470417124464E-4</v>
      </c>
    </row>
    <row r="1012" spans="4:13" x14ac:dyDescent="0.25">
      <c r="D1012">
        <v>82</v>
      </c>
      <c r="E1012" s="94">
        <f t="shared" si="132"/>
        <v>0.47318014350783316</v>
      </c>
      <c r="F1012">
        <f t="shared" si="130"/>
        <v>9.0100030263627201E-2</v>
      </c>
      <c r="G1012">
        <f t="shared" si="131"/>
        <v>5.0973224719796321E-3</v>
      </c>
      <c r="H1012" s="94">
        <f t="shared" si="137"/>
        <v>0.46381148285097457</v>
      </c>
      <c r="I1012">
        <f t="shared" si="133"/>
        <v>0.63829379788018303</v>
      </c>
      <c r="J1012">
        <f t="shared" si="134"/>
        <v>0.11694311701900199</v>
      </c>
      <c r="K1012" s="94">
        <f t="shared" si="138"/>
        <v>0.58719677234009104</v>
      </c>
      <c r="L1012">
        <f t="shared" si="135"/>
        <v>6.8659560307826051E-2</v>
      </c>
      <c r="M1012">
        <f t="shared" si="136"/>
        <v>6.9328217768827667E-4</v>
      </c>
    </row>
    <row r="1013" spans="4:13" x14ac:dyDescent="0.25">
      <c r="D1013">
        <v>83</v>
      </c>
      <c r="E1013" s="94">
        <f t="shared" si="132"/>
        <v>0.47902032978914338</v>
      </c>
      <c r="F1013">
        <f t="shared" si="130"/>
        <v>8.3336531776166664E-2</v>
      </c>
      <c r="G1013">
        <f t="shared" si="131"/>
        <v>4.3172559403264364E-3</v>
      </c>
      <c r="H1013" s="94">
        <f t="shared" si="137"/>
        <v>0.46952216857309936</v>
      </c>
      <c r="I1013">
        <f t="shared" si="133"/>
        <v>0.63780578838939561</v>
      </c>
      <c r="J1013">
        <f t="shared" si="134"/>
        <v>0.10742483062069724</v>
      </c>
      <c r="K1013" s="94">
        <f t="shared" si="138"/>
        <v>0.59443520900162772</v>
      </c>
      <c r="L1013">
        <f t="shared" si="135"/>
        <v>6.4143203605838528E-2</v>
      </c>
      <c r="M1013">
        <f t="shared" si="136"/>
        <v>5.5915855576551632E-4</v>
      </c>
    </row>
    <row r="1014" spans="4:13" x14ac:dyDescent="0.25">
      <c r="D1014">
        <v>84</v>
      </c>
      <c r="E1014" s="94">
        <f t="shared" si="132"/>
        <v>0.48486051607045361</v>
      </c>
      <c r="F1014">
        <f t="shared" si="130"/>
        <v>7.7012967272094474E-2</v>
      </c>
      <c r="G1014">
        <f t="shared" si="131"/>
        <v>3.6486790473938594E-3</v>
      </c>
      <c r="H1014" s="94">
        <f t="shared" si="137"/>
        <v>0.47523285429522416</v>
      </c>
      <c r="I1014">
        <f t="shared" si="133"/>
        <v>0.63740223235934401</v>
      </c>
      <c r="J1014">
        <f t="shared" si="134"/>
        <v>9.8576804316698879E-2</v>
      </c>
      <c r="K1014" s="94">
        <f t="shared" si="138"/>
        <v>0.60167364566316439</v>
      </c>
      <c r="L1014">
        <f t="shared" si="135"/>
        <v>5.9861583804829574E-2</v>
      </c>
      <c r="M1014">
        <f t="shared" si="136"/>
        <v>4.4915699175702815E-4</v>
      </c>
    </row>
    <row r="1015" spans="4:13" x14ac:dyDescent="0.25">
      <c r="D1015">
        <v>85</v>
      </c>
      <c r="E1015" s="94">
        <f t="shared" si="132"/>
        <v>0.49070070235176383</v>
      </c>
      <c r="F1015">
        <f t="shared" si="130"/>
        <v>7.1105227096765936E-2</v>
      </c>
      <c r="G1015">
        <f t="shared" si="131"/>
        <v>3.0768572111367237E-3</v>
      </c>
      <c r="H1015" s="94">
        <f t="shared" si="137"/>
        <v>0.48094354001734896</v>
      </c>
      <c r="I1015">
        <f t="shared" si="133"/>
        <v>0.63708265195451586</v>
      </c>
      <c r="J1015">
        <f t="shared" si="134"/>
        <v>9.0360004180798148E-2</v>
      </c>
      <c r="K1015" s="94">
        <f t="shared" si="138"/>
        <v>0.60891208232470106</v>
      </c>
      <c r="L1015">
        <f t="shared" si="135"/>
        <v>5.580526224008981E-2</v>
      </c>
      <c r="M1015">
        <f t="shared" si="136"/>
        <v>3.5928322075495496E-4</v>
      </c>
    </row>
    <row r="1016" spans="4:13" x14ac:dyDescent="0.25">
      <c r="D1016">
        <v>86</v>
      </c>
      <c r="E1016" s="94">
        <f t="shared" si="132"/>
        <v>0.49654088863307405</v>
      </c>
      <c r="F1016">
        <f t="shared" si="130"/>
        <v>6.5590270420045629E-2</v>
      </c>
      <c r="G1016">
        <f t="shared" si="131"/>
        <v>2.5888311307573301E-3</v>
      </c>
      <c r="H1016" s="94">
        <f t="shared" si="137"/>
        <v>0.48665422573947376</v>
      </c>
      <c r="I1016">
        <f t="shared" si="133"/>
        <v>0.63684666991412608</v>
      </c>
      <c r="J1016">
        <f t="shared" si="134"/>
        <v>8.2737094657281171E-2</v>
      </c>
      <c r="K1016" s="94">
        <f t="shared" si="138"/>
        <v>0.61615051898623774</v>
      </c>
      <c r="L1016">
        <f t="shared" si="135"/>
        <v>5.1965127288184233E-2</v>
      </c>
      <c r="M1016">
        <f t="shared" si="136"/>
        <v>2.8614425646695716E-4</v>
      </c>
    </row>
    <row r="1017" spans="4:13" x14ac:dyDescent="0.25">
      <c r="D1017">
        <v>87</v>
      </c>
      <c r="E1017" s="94">
        <f t="shared" si="132"/>
        <v>0.50238107491438433</v>
      </c>
      <c r="F1017">
        <f t="shared" si="130"/>
        <v>6.0446089297837659E-2</v>
      </c>
      <c r="G1017">
        <f t="shared" si="131"/>
        <v>2.1732261274763584E-3</v>
      </c>
      <c r="H1017" s="94">
        <f t="shared" si="137"/>
        <v>0.49236491146159855</v>
      </c>
      <c r="I1017">
        <f t="shared" si="133"/>
        <v>0.63669400831115885</v>
      </c>
      <c r="J1017">
        <f t="shared" si="134"/>
        <v>7.567240267274733E-2</v>
      </c>
      <c r="K1017" s="94">
        <f t="shared" si="138"/>
        <v>0.62338895564777441</v>
      </c>
      <c r="L1017">
        <f t="shared" si="135"/>
        <v>4.8332380083196874E-2</v>
      </c>
      <c r="M1017">
        <f t="shared" si="136"/>
        <v>2.2686753460682838E-4</v>
      </c>
    </row>
    <row r="1018" spans="4:13" x14ac:dyDescent="0.25">
      <c r="D1018">
        <v>88</v>
      </c>
      <c r="E1018" s="94">
        <f t="shared" si="132"/>
        <v>0.50822126119569455</v>
      </c>
      <c r="F1018">
        <f t="shared" si="130"/>
        <v>5.5651673548421265E-2</v>
      </c>
      <c r="G1018">
        <f t="shared" si="131"/>
        <v>1.8200789948473516E-3</v>
      </c>
      <c r="H1018" s="94">
        <f t="shared" si="137"/>
        <v>0.49807559718372335</v>
      </c>
      <c r="I1018">
        <f t="shared" si="133"/>
        <v>0.63662448764133206</v>
      </c>
      <c r="J1018">
        <f t="shared" si="134"/>
        <v>6.9131879713910077E-2</v>
      </c>
      <c r="K1018" s="94">
        <f t="shared" si="138"/>
        <v>0.63062739230931109</v>
      </c>
      <c r="L1018">
        <f t="shared" si="135"/>
        <v>4.4898521098524713E-2</v>
      </c>
      <c r="M1018">
        <f t="shared" si="136"/>
        <v>1.7902951515479581E-4</v>
      </c>
    </row>
    <row r="1019" spans="4:13" x14ac:dyDescent="0.25">
      <c r="D1019">
        <v>89</v>
      </c>
      <c r="E1019" s="94">
        <f t="shared" si="132"/>
        <v>0.51406144747700477</v>
      </c>
      <c r="F1019">
        <f t="shared" si="130"/>
        <v>5.1186976434247751E-2</v>
      </c>
      <c r="G1019">
        <f t="shared" si="131"/>
        <v>1.5206811150137174E-3</v>
      </c>
      <c r="H1019" s="94">
        <f t="shared" si="137"/>
        <v>0.50378628290584815</v>
      </c>
      <c r="I1019">
        <f t="shared" si="133"/>
        <v>0.6366380262361262</v>
      </c>
      <c r="J1019">
        <f t="shared" si="134"/>
        <v>6.3083062164803569E-2</v>
      </c>
      <c r="K1019" s="94">
        <f t="shared" si="138"/>
        <v>0.63786582897084776</v>
      </c>
      <c r="L1019">
        <f t="shared" si="135"/>
        <v>4.1655337533470088E-2</v>
      </c>
      <c r="M1019">
        <f t="shared" si="136"/>
        <v>1.4059282449832805E-4</v>
      </c>
    </row>
    <row r="1020" spans="4:13" x14ac:dyDescent="0.25">
      <c r="D1020">
        <v>90</v>
      </c>
      <c r="E1020" s="94">
        <f t="shared" si="132"/>
        <v>0.519901633758315</v>
      </c>
      <c r="F1020">
        <f t="shared" si="130"/>
        <v>4.7032881139856306E-2</v>
      </c>
      <c r="G1020">
        <f t="shared" si="131"/>
        <v>1.2674366402945923E-3</v>
      </c>
      <c r="H1020" s="94">
        <f t="shared" si="137"/>
        <v>0.50949696862797289</v>
      </c>
      <c r="I1020">
        <f t="shared" si="133"/>
        <v>0.63673463999610225</v>
      </c>
      <c r="J1020">
        <f t="shared" si="134"/>
        <v>5.7495030175317118E-2</v>
      </c>
      <c r="K1020" s="94">
        <f t="shared" si="138"/>
        <v>0.64510426563238443</v>
      </c>
      <c r="L1020">
        <f t="shared" si="135"/>
        <v>3.8594891448921233E-2</v>
      </c>
      <c r="M1020">
        <f t="shared" si="136"/>
        <v>1.0985108516303251E-4</v>
      </c>
    </row>
    <row r="1021" spans="4:13" x14ac:dyDescent="0.25">
      <c r="D1021">
        <v>91</v>
      </c>
      <c r="E1021" s="94">
        <f t="shared" si="132"/>
        <v>0.52574182003962522</v>
      </c>
      <c r="F1021">
        <f t="shared" si="130"/>
        <v>4.3171168036564234E-2</v>
      </c>
      <c r="G1021">
        <f t="shared" si="131"/>
        <v>1.0537345875744936E-3</v>
      </c>
      <c r="H1021" s="94">
        <f t="shared" si="137"/>
        <v>0.51520765435009763</v>
      </c>
      <c r="I1021">
        <f t="shared" si="133"/>
        <v>0.63691444244280548</v>
      </c>
      <c r="J1021">
        <f t="shared" si="134"/>
        <v>5.2338365312850257E-2</v>
      </c>
      <c r="K1021" s="94">
        <f t="shared" si="138"/>
        <v>0.65234270229392111</v>
      </c>
      <c r="L1021">
        <f t="shared" si="135"/>
        <v>3.5709508600985804E-2</v>
      </c>
      <c r="M1021">
        <f t="shared" si="136"/>
        <v>8.5380645272957448E-5</v>
      </c>
    </row>
    <row r="1022" spans="4:13" x14ac:dyDescent="0.25">
      <c r="D1022">
        <v>92</v>
      </c>
      <c r="E1022" s="94">
        <f t="shared" si="132"/>
        <v>0.53158200632093544</v>
      </c>
      <c r="F1022">
        <f t="shared" si="130"/>
        <v>3.9584482724588962E-2</v>
      </c>
      <c r="G1022">
        <f t="shared" si="131"/>
        <v>8.7383374485455907E-4</v>
      </c>
      <c r="H1022" s="94">
        <f t="shared" si="137"/>
        <v>0.52091834007222237</v>
      </c>
      <c r="I1022">
        <f t="shared" si="133"/>
        <v>0.63717764508958574</v>
      </c>
      <c r="J1022">
        <f t="shared" si="134"/>
        <v>4.7585107230015002E-2</v>
      </c>
      <c r="K1022" s="94">
        <f t="shared" si="138"/>
        <v>0.65958113895545778</v>
      </c>
      <c r="L1022">
        <f t="shared" si="135"/>
        <v>3.299176792560473E-2</v>
      </c>
      <c r="M1022">
        <f t="shared" si="136"/>
        <v>6.5998481791742055E-5</v>
      </c>
    </row>
    <row r="1023" spans="4:13" x14ac:dyDescent="0.25">
      <c r="D1023">
        <v>93</v>
      </c>
      <c r="E1023" s="94">
        <f t="shared" si="132"/>
        <v>0.53742219260224566</v>
      </c>
      <c r="F1023">
        <f t="shared" si="130"/>
        <v>3.6256304843257571E-2</v>
      </c>
      <c r="G1023">
        <f t="shared" si="131"/>
        <v>7.2275934386502316E-4</v>
      </c>
      <c r="H1023" s="94">
        <f t="shared" si="137"/>
        <v>0.52662902579434712</v>
      </c>
      <c r="I1023">
        <f t="shared" si="133"/>
        <v>0.63752455813371056</v>
      </c>
      <c r="J1023">
        <f t="shared" si="134"/>
        <v>4.3208709563636101E-2</v>
      </c>
      <c r="K1023" s="94">
        <f t="shared" si="138"/>
        <v>0.66681957561699445</v>
      </c>
      <c r="L1023">
        <f t="shared" si="135"/>
        <v>3.0434491630962707E-2</v>
      </c>
      <c r="M1023">
        <f t="shared" si="136"/>
        <v>5.0725610799120517E-5</v>
      </c>
    </row>
    <row r="1024" spans="4:13" x14ac:dyDescent="0.25">
      <c r="D1024">
        <v>94</v>
      </c>
      <c r="E1024" s="94">
        <f t="shared" si="132"/>
        <v>0.54326237888355589</v>
      </c>
      <c r="F1024">
        <f t="shared" si="130"/>
        <v>3.3170917639961175E-2</v>
      </c>
      <c r="G1024">
        <f t="shared" si="131"/>
        <v>5.9621050885969929E-4</v>
      </c>
      <c r="H1024" s="94">
        <f t="shared" si="137"/>
        <v>0.53233971151647186</v>
      </c>
      <c r="I1024">
        <f t="shared" si="133"/>
        <v>0.63795559147421776</v>
      </c>
      <c r="J1024">
        <f t="shared" si="134"/>
        <v>3.9183995263715542E-2</v>
      </c>
      <c r="K1024" s="94">
        <f t="shared" si="138"/>
        <v>0.67405801227853113</v>
      </c>
      <c r="L1024">
        <f t="shared" si="135"/>
        <v>2.8030735857968239E-2</v>
      </c>
      <c r="M1024">
        <f t="shared" si="136"/>
        <v>3.8755394410520646E-5</v>
      </c>
    </row>
    <row r="1025" spans="1:13" x14ac:dyDescent="0.25">
      <c r="D1025">
        <v>95</v>
      </c>
      <c r="E1025" s="94">
        <f t="shared" si="132"/>
        <v>0.54910256516486611</v>
      </c>
      <c r="F1025">
        <f t="shared" si="130"/>
        <v>3.0313378288510138E-2</v>
      </c>
      <c r="G1025">
        <f t="shared" si="131"/>
        <v>4.904775487733446E-4</v>
      </c>
      <c r="H1025" s="94">
        <f t="shared" si="137"/>
        <v>0.5380503972385966</v>
      </c>
      <c r="I1025">
        <f t="shared" si="133"/>
        <v>0.63847125606206989</v>
      </c>
      <c r="J1025">
        <f t="shared" si="134"/>
        <v>3.5487111535468407E-2</v>
      </c>
      <c r="K1025" s="94">
        <f t="shared" si="138"/>
        <v>0.6812964489400678</v>
      </c>
      <c r="L1025">
        <f t="shared" si="135"/>
        <v>2.5773781872230891E-2</v>
      </c>
      <c r="M1025">
        <f t="shared" si="136"/>
        <v>2.9426187354669525E-5</v>
      </c>
    </row>
    <row r="1026" spans="1:13" x14ac:dyDescent="0.25">
      <c r="D1026">
        <v>96</v>
      </c>
      <c r="E1026" s="94">
        <f t="shared" si="132"/>
        <v>0.55494275144617633</v>
      </c>
      <c r="F1026">
        <f t="shared" si="130"/>
        <v>2.7669488947547023E-2</v>
      </c>
      <c r="G1026">
        <f t="shared" si="131"/>
        <v>4.0236821710782294E-4</v>
      </c>
      <c r="H1026" s="94">
        <f t="shared" si="137"/>
        <v>0.54376108296072134</v>
      </c>
      <c r="I1026">
        <f t="shared" si="133"/>
        <v>0.63907216559136315</v>
      </c>
      <c r="J1026">
        <f t="shared" si="134"/>
        <v>3.2095484562932028E-2</v>
      </c>
      <c r="K1026" s="94">
        <f t="shared" si="138"/>
        <v>0.68853488560160447</v>
      </c>
      <c r="L1026">
        <f t="shared" si="135"/>
        <v>2.3657127753850916E-2</v>
      </c>
      <c r="M1026">
        <f t="shared" si="136"/>
        <v>2.219781662812934E-5</v>
      </c>
    </row>
    <row r="1027" spans="1:13" x14ac:dyDescent="0.25">
      <c r="D1027">
        <v>97</v>
      </c>
      <c r="E1027" s="94">
        <f t="shared" si="132"/>
        <v>0.56078293772748655</v>
      </c>
      <c r="F1027">
        <f t="shared" si="130"/>
        <v>2.52257685496735E-2</v>
      </c>
      <c r="G1027">
        <f t="shared" si="131"/>
        <v>3.2914212062125521E-4</v>
      </c>
      <c r="H1027" s="94">
        <f t="shared" si="137"/>
        <v>0.54947176868284608</v>
      </c>
      <c r="I1027">
        <f t="shared" si="133"/>
        <v>0.63975903854261629</v>
      </c>
      <c r="J1027">
        <f t="shared" si="134"/>
        <v>2.8987774168933642E-2</v>
      </c>
      <c r="K1027" s="94">
        <f t="shared" si="138"/>
        <v>0.69577332226314115</v>
      </c>
      <c r="L1027">
        <f t="shared" si="135"/>
        <v>2.1674480553978671E-2</v>
      </c>
      <c r="M1027">
        <f t="shared" si="136"/>
        <v>1.663143502350343E-5</v>
      </c>
    </row>
    <row r="1028" spans="1:13" x14ac:dyDescent="0.25">
      <c r="D1028">
        <v>98</v>
      </c>
      <c r="E1028" s="94">
        <f t="shared" si="132"/>
        <v>0.56662312400879677</v>
      </c>
      <c r="F1028">
        <f t="shared" si="130"/>
        <v>2.2969425311948132E-2</v>
      </c>
      <c r="G1028">
        <f t="shared" si="131"/>
        <v>2.6845251362509766E-4</v>
      </c>
      <c r="H1028" s="94">
        <f t="shared" si="137"/>
        <v>0.55518245440497083</v>
      </c>
      <c r="I1028">
        <f t="shared" si="133"/>
        <v>0.64053270059157785</v>
      </c>
      <c r="J1028">
        <f t="shared" si="134"/>
        <v>2.6143828553320286E-2</v>
      </c>
      <c r="K1028" s="94">
        <f t="shared" si="138"/>
        <v>0.70301175892467782</v>
      </c>
      <c r="L1028">
        <f t="shared" si="135"/>
        <v>1.9819748889528137E-2</v>
      </c>
      <c r="M1028">
        <f t="shared" si="136"/>
        <v>1.2372333686323166E-5</v>
      </c>
    </row>
    <row r="1029" spans="1:13" x14ac:dyDescent="0.25">
      <c r="D1029">
        <v>99</v>
      </c>
      <c r="E1029" s="94">
        <f t="shared" si="132"/>
        <v>0.572463310290107</v>
      </c>
      <c r="F1029">
        <f t="shared" si="130"/>
        <v>2.0888329958411216E-2</v>
      </c>
      <c r="G1029">
        <f t="shared" si="131"/>
        <v>2.1829476903600296E-4</v>
      </c>
      <c r="H1029" s="94">
        <f t="shared" si="137"/>
        <v>0.56089314012709557</v>
      </c>
      <c r="I1029">
        <f t="shared" si="133"/>
        <v>0.64139408739952619</v>
      </c>
      <c r="J1029">
        <f t="shared" si="134"/>
        <v>2.3544639239248578E-2</v>
      </c>
      <c r="K1029" s="94">
        <f t="shared" si="138"/>
        <v>0.71025019558621449</v>
      </c>
      <c r="L1029">
        <f t="shared" si="135"/>
        <v>1.8087035949657101E-2</v>
      </c>
      <c r="M1029">
        <f t="shared" si="136"/>
        <v>9.1353402264609482E-6</v>
      </c>
    </row>
    <row r="1030" spans="1:13" x14ac:dyDescent="0.25">
      <c r="D1030">
        <v>100</v>
      </c>
      <c r="E1030" s="94">
        <f t="shared" si="132"/>
        <v>0.57830349657141722</v>
      </c>
      <c r="F1030">
        <f t="shared" si="130"/>
        <v>1.8970989645293486E-2</v>
      </c>
      <c r="G1030">
        <f t="shared" si="131"/>
        <v>1.7696086995085673E-4</v>
      </c>
      <c r="H1030" s="94">
        <f t="shared" si="137"/>
        <v>0.56660382584922031</v>
      </c>
      <c r="I1030">
        <f t="shared" si="133"/>
        <v>0.64234424780376898</v>
      </c>
      <c r="J1030">
        <f t="shared" si="134"/>
        <v>2.1172296345959553E-2</v>
      </c>
      <c r="K1030" s="94">
        <f t="shared" si="138"/>
        <v>0.71748863224775117</v>
      </c>
      <c r="L1030">
        <f t="shared" si="135"/>
        <v>1.6470632889679863E-2</v>
      </c>
      <c r="M1030">
        <f t="shared" si="136"/>
        <v>6.6924673472866437E-6</v>
      </c>
    </row>
    <row r="1033" spans="1:13" x14ac:dyDescent="0.25">
      <c r="E1033" s="111"/>
      <c r="F1033" s="111" t="s">
        <v>267</v>
      </c>
      <c r="G1033" s="111"/>
      <c r="H1033" s="112"/>
      <c r="I1033" s="112" t="s">
        <v>268</v>
      </c>
      <c r="J1033" s="112"/>
      <c r="K1033" s="113"/>
      <c r="L1033" s="113" t="s">
        <v>269</v>
      </c>
      <c r="M1033" s="113"/>
    </row>
    <row r="1034" spans="1:13" x14ac:dyDescent="0.25">
      <c r="A1034" s="6" t="s">
        <v>272</v>
      </c>
      <c r="B1034" s="6"/>
      <c r="C1034" s="6"/>
      <c r="D1034" s="6" t="s">
        <v>273</v>
      </c>
      <c r="E1034" s="9" t="s">
        <v>274</v>
      </c>
      <c r="F1034" s="9" t="s">
        <v>265</v>
      </c>
      <c r="G1034" s="9" t="s">
        <v>264</v>
      </c>
      <c r="H1034" s="109" t="s">
        <v>270</v>
      </c>
      <c r="I1034" s="109" t="s">
        <v>265</v>
      </c>
      <c r="J1034" s="109" t="s">
        <v>264</v>
      </c>
      <c r="K1034" s="110" t="s">
        <v>271</v>
      </c>
      <c r="L1034" s="110" t="s">
        <v>265</v>
      </c>
      <c r="M1034" s="110" t="s">
        <v>264</v>
      </c>
    </row>
    <row r="1035" spans="1:13" x14ac:dyDescent="0.25">
      <c r="B1035" s="50"/>
      <c r="D1035">
        <v>1</v>
      </c>
      <c r="E1035" s="94">
        <f>B1038</f>
        <v>2.0705084352857264E-34</v>
      </c>
      <c r="F1035">
        <f>GAMMADIST(E1035,$B$1040,1/$B$1041,0)</f>
        <v>2.9477135806736297E+30</v>
      </c>
      <c r="G1035">
        <f>GAMMADIST(E1035,$B$1042,1/$B$1043,0)</f>
        <v>3.1823101455226541E+30</v>
      </c>
      <c r="H1035" s="50">
        <f>B1046</f>
        <v>2.259850574723864E-6</v>
      </c>
      <c r="I1035" t="e">
        <f>GAMMADIST(H1035,$B$1048,1/$B$1049,0)</f>
        <v>#DIV/0!</v>
      </c>
      <c r="J1035">
        <f>GAMMADIST(H1035,$B$1050,1/$B$1051,0)</f>
        <v>11048.185938662813</v>
      </c>
      <c r="K1035" s="50">
        <f>B1054</f>
        <v>9.0232994819607012E-6</v>
      </c>
      <c r="L1035">
        <f>GAMMADIST(K1035,$B$1056,1/$B$1057,0)</f>
        <v>419.95986369088098</v>
      </c>
      <c r="M1035">
        <f>GAMMADIST(K1035,$B$1058,1/$B$1059,0)</f>
        <v>5512.1049924140661</v>
      </c>
    </row>
    <row r="1036" spans="1:13" x14ac:dyDescent="0.25">
      <c r="D1036">
        <v>2</v>
      </c>
      <c r="E1036" s="94">
        <f>E1035+$B$1044</f>
        <v>3.2545163792717631E-5</v>
      </c>
      <c r="F1036">
        <f t="shared" ref="F1036:F1099" si="139">GAMMADIST(E1036,$B$1040,1/$B$1041,0)</f>
        <v>1553.2097452413129</v>
      </c>
      <c r="G1036">
        <f t="shared" ref="G1036:G1099" si="140">GAMMADIST(E1036,$B$1042,1/$B$1043,0)</f>
        <v>1630.0111937358733</v>
      </c>
      <c r="H1036" s="94">
        <f>H1035+$B$1052</f>
        <v>4.0753781034617007E-5</v>
      </c>
      <c r="I1036" t="e">
        <f t="shared" ref="I1036:I1099" si="141">GAMMADIST(H1036,$B$1048,1/$B$1049,0)</f>
        <v>#DIV/0!</v>
      </c>
      <c r="J1036">
        <f t="shared" ref="J1036:J1099" si="142">GAMMADIST(H1036,$B$1050,1/$B$1051,0)</f>
        <v>2515.9527595425793</v>
      </c>
      <c r="K1036" s="94">
        <f>K1035+$B$1060</f>
        <v>5.070596653304801E-3</v>
      </c>
      <c r="L1036">
        <f t="shared" ref="L1036:L1099" si="143">GAMMADIST(K1036,$B$1056,1/$B$1057,0)</f>
        <v>17.273083496458103</v>
      </c>
      <c r="M1036">
        <f t="shared" ref="M1036:M1099" si="144">GAMMADIST(K1036,$B$1058,1/$B$1059,0)</f>
        <v>2.7735367788009522</v>
      </c>
    </row>
    <row r="1037" spans="1:13" x14ac:dyDescent="0.25">
      <c r="A1037" s="107" t="s">
        <v>267</v>
      </c>
      <c r="B1037" s="108"/>
      <c r="D1037">
        <v>3</v>
      </c>
      <c r="E1037" s="94">
        <f t="shared" ref="E1037:E1100" si="145">E1036+$B$1044</f>
        <v>6.5090327585435261E-5</v>
      </c>
      <c r="F1037">
        <f t="shared" si="139"/>
        <v>802.4866942092716</v>
      </c>
      <c r="G1037">
        <f t="shared" si="140"/>
        <v>818.65624535724771</v>
      </c>
      <c r="H1037" s="94">
        <f t="shared" ref="H1037:H1100" si="146">H1036+$B$1052</f>
        <v>7.9247711494510154E-5</v>
      </c>
      <c r="I1037" t="e">
        <f t="shared" si="141"/>
        <v>#DIV/0!</v>
      </c>
      <c r="J1037">
        <f t="shared" si="142"/>
        <v>1744.8121270029289</v>
      </c>
      <c r="K1037" s="94">
        <f t="shared" ref="K1037:K1100" si="147">K1036+$B$1060</f>
        <v>1.0132170007127642E-2</v>
      </c>
      <c r="L1037">
        <f t="shared" si="143"/>
        <v>11.913986512507439</v>
      </c>
      <c r="M1037">
        <f t="shared" si="144"/>
        <v>2.3403215018473103E-2</v>
      </c>
    </row>
    <row r="1038" spans="1:13" x14ac:dyDescent="0.25">
      <c r="A1038" t="s">
        <v>28</v>
      </c>
      <c r="B1038" s="50">
        <f>MIN(GAMMAINV(0.01,B1040,1/B1041),GAMMAINV(0.01,B1042,1/B1043))</f>
        <v>2.0705084352857264E-34</v>
      </c>
      <c r="D1038">
        <v>4</v>
      </c>
      <c r="E1038" s="94">
        <f t="shared" si="145"/>
        <v>9.7635491378152898E-5</v>
      </c>
      <c r="F1038">
        <f t="shared" si="139"/>
        <v>542.44048669124697</v>
      </c>
      <c r="G1038">
        <f t="shared" si="140"/>
        <v>537.92173812381736</v>
      </c>
      <c r="H1038" s="94">
        <f t="shared" si="146"/>
        <v>1.177416419544033E-4</v>
      </c>
      <c r="I1038" t="e">
        <f t="shared" si="141"/>
        <v>#DIV/0!</v>
      </c>
      <c r="J1038">
        <f t="shared" si="142"/>
        <v>1384.3075626434074</v>
      </c>
      <c r="K1038" s="94">
        <f t="shared" si="147"/>
        <v>1.5193743360950482E-2</v>
      </c>
      <c r="L1038">
        <f t="shared" si="143"/>
        <v>9.4860383943003139</v>
      </c>
      <c r="M1038">
        <f t="shared" si="144"/>
        <v>2.2795948044544427E-4</v>
      </c>
    </row>
    <row r="1039" spans="1:13" x14ac:dyDescent="0.25">
      <c r="A1039" t="s">
        <v>29</v>
      </c>
      <c r="B1039" s="50">
        <f>MAX(GAMMAINV(0.99,B1040,1/B1041),GAMMAINV(0.99,B1042,1/B1043))</f>
        <v>3.2219712154790453E-3</v>
      </c>
      <c r="D1039">
        <v>5</v>
      </c>
      <c r="E1039" s="94">
        <f t="shared" si="145"/>
        <v>1.3018065517087052E-4</v>
      </c>
      <c r="F1039">
        <f t="shared" si="139"/>
        <v>409.30630670142403</v>
      </c>
      <c r="G1039">
        <f t="shared" si="140"/>
        <v>394.56512275307483</v>
      </c>
      <c r="H1039" s="94">
        <f t="shared" si="146"/>
        <v>1.5623557241429645E-4</v>
      </c>
      <c r="I1039" t="e">
        <f t="shared" si="141"/>
        <v>#DIV/0!</v>
      </c>
      <c r="J1039">
        <f t="shared" si="142"/>
        <v>1162.1529090028218</v>
      </c>
      <c r="K1039" s="94">
        <f t="shared" si="147"/>
        <v>2.0255316714773323E-2</v>
      </c>
      <c r="L1039">
        <f t="shared" si="143"/>
        <v>8.0104457823260073</v>
      </c>
      <c r="M1039">
        <f t="shared" si="144"/>
        <v>2.3549615864028998E-6</v>
      </c>
    </row>
    <row r="1040" spans="1:13" x14ac:dyDescent="0.25">
      <c r="A1040" t="s">
        <v>262</v>
      </c>
      <c r="B1040">
        <f>'Bayes-Poisson'!D5</f>
        <v>6.5890000000000004E-2</v>
      </c>
      <c r="D1040">
        <v>6</v>
      </c>
      <c r="E1040" s="94">
        <f t="shared" si="145"/>
        <v>1.6272581896358815E-4</v>
      </c>
      <c r="F1040">
        <f t="shared" si="139"/>
        <v>328.03991213030037</v>
      </c>
      <c r="G1040">
        <f t="shared" si="140"/>
        <v>307.39740929450409</v>
      </c>
      <c r="H1040" s="94">
        <f t="shared" si="146"/>
        <v>1.9472950287418959E-4</v>
      </c>
      <c r="I1040" t="e">
        <f t="shared" si="141"/>
        <v>#DIV/0!</v>
      </c>
      <c r="J1040">
        <f t="shared" si="142"/>
        <v>1006.6835156637406</v>
      </c>
      <c r="K1040" s="94">
        <f t="shared" si="147"/>
        <v>2.5316890068596165E-2</v>
      </c>
      <c r="L1040">
        <f t="shared" si="143"/>
        <v>6.9860221717624862</v>
      </c>
      <c r="M1040">
        <f t="shared" si="144"/>
        <v>2.5125312003483627E-8</v>
      </c>
    </row>
    <row r="1041" spans="1:13" x14ac:dyDescent="0.25">
      <c r="A1041" t="s">
        <v>263</v>
      </c>
      <c r="B1041">
        <f>'Bayes-Poisson'!D6</f>
        <v>396</v>
      </c>
      <c r="D1041">
        <v>7</v>
      </c>
      <c r="E1041" s="94">
        <f t="shared" si="145"/>
        <v>1.9527098275630577E-4</v>
      </c>
      <c r="F1041">
        <f t="shared" si="139"/>
        <v>273.12757945298074</v>
      </c>
      <c r="G1041">
        <f t="shared" si="140"/>
        <v>248.79539117851243</v>
      </c>
      <c r="H1041" s="94">
        <f t="shared" si="146"/>
        <v>2.3322343333408274E-4</v>
      </c>
      <c r="I1041" t="e">
        <f t="shared" si="141"/>
        <v>#DIV/0!</v>
      </c>
      <c r="J1041">
        <f t="shared" si="142"/>
        <v>889.56634144043949</v>
      </c>
      <c r="K1041" s="94">
        <f t="shared" si="147"/>
        <v>3.0378463422419004E-2</v>
      </c>
      <c r="L1041">
        <f t="shared" si="143"/>
        <v>6.2181496403694405</v>
      </c>
      <c r="M1041">
        <f t="shared" si="144"/>
        <v>2.7358799378154165E-10</v>
      </c>
    </row>
    <row r="1042" spans="1:13" x14ac:dyDescent="0.25">
      <c r="A1042" t="s">
        <v>261</v>
      </c>
      <c r="B1042">
        <f>'Bayes-Poisson'!D17</f>
        <v>6.5890000000000004E-2</v>
      </c>
      <c r="D1042">
        <v>8</v>
      </c>
      <c r="E1042" s="94">
        <f t="shared" si="145"/>
        <v>2.2781614654902339E-4</v>
      </c>
      <c r="F1042">
        <f t="shared" si="139"/>
        <v>233.4708975617302</v>
      </c>
      <c r="G1042">
        <f t="shared" si="140"/>
        <v>206.73441860308944</v>
      </c>
      <c r="H1042" s="94">
        <f t="shared" si="146"/>
        <v>2.7171736379397589E-4</v>
      </c>
      <c r="I1042" t="e">
        <f t="shared" si="141"/>
        <v>#DIV/0!</v>
      </c>
      <c r="J1042">
        <f t="shared" si="142"/>
        <v>797.00553551366397</v>
      </c>
      <c r="K1042" s="94">
        <f t="shared" si="147"/>
        <v>3.5440036776241843E-2</v>
      </c>
      <c r="L1042">
        <f t="shared" si="143"/>
        <v>5.6131406142692679</v>
      </c>
      <c r="M1042">
        <f t="shared" si="144"/>
        <v>3.0213159899755722E-12</v>
      </c>
    </row>
    <row r="1043" spans="1:13" x14ac:dyDescent="0.25">
      <c r="A1043" t="s">
        <v>266</v>
      </c>
      <c r="B1043">
        <f>'Bayes-Poisson'!D18</f>
        <v>1266</v>
      </c>
      <c r="D1043">
        <v>9</v>
      </c>
      <c r="E1043" s="94">
        <f t="shared" si="145"/>
        <v>2.6036131034174104E-4</v>
      </c>
      <c r="F1043">
        <f t="shared" si="139"/>
        <v>203.45330917315118</v>
      </c>
      <c r="G1043">
        <f t="shared" si="140"/>
        <v>175.12496084434216</v>
      </c>
      <c r="H1043" s="94">
        <f t="shared" si="146"/>
        <v>3.1021129425386901E-4</v>
      </c>
      <c r="I1043" t="e">
        <f t="shared" si="141"/>
        <v>#DIV/0!</v>
      </c>
      <c r="J1043">
        <f t="shared" si="142"/>
        <v>721.35131982343398</v>
      </c>
      <c r="K1043" s="94">
        <f t="shared" si="147"/>
        <v>4.0501610130064682E-2</v>
      </c>
      <c r="L1043">
        <f t="shared" si="143"/>
        <v>5.1194793136284735</v>
      </c>
      <c r="M1043">
        <f t="shared" si="144"/>
        <v>3.3710902657784968E-14</v>
      </c>
    </row>
    <row r="1044" spans="1:13" x14ac:dyDescent="0.25">
      <c r="A1044" t="s">
        <v>199</v>
      </c>
      <c r="B1044" s="50">
        <f>(B1039-B1038)/99</f>
        <v>3.2545163792717631E-5</v>
      </c>
      <c r="D1044">
        <v>10</v>
      </c>
      <c r="E1044" s="94">
        <f t="shared" si="145"/>
        <v>2.929064741344587E-4</v>
      </c>
      <c r="F1044">
        <f t="shared" si="139"/>
        <v>179.92252531276466</v>
      </c>
      <c r="G1044">
        <f t="shared" si="140"/>
        <v>150.54699465212565</v>
      </c>
      <c r="H1044" s="94">
        <f t="shared" si="146"/>
        <v>3.4870522471376213E-4</v>
      </c>
      <c r="I1044" t="e">
        <f t="shared" si="141"/>
        <v>#DIV/0!</v>
      </c>
      <c r="J1044">
        <f t="shared" si="142"/>
        <v>657.9638087368478</v>
      </c>
      <c r="K1044" s="94">
        <f t="shared" si="147"/>
        <v>4.556318348388752E-2</v>
      </c>
      <c r="L1044">
        <f t="shared" si="143"/>
        <v>4.7061291331014132</v>
      </c>
      <c r="M1044">
        <f t="shared" si="144"/>
        <v>3.7910786162109555E-16</v>
      </c>
    </row>
    <row r="1045" spans="1:13" x14ac:dyDescent="0.25">
      <c r="A1045" s="107" t="s">
        <v>268</v>
      </c>
      <c r="B1045" s="108"/>
      <c r="D1045">
        <v>11</v>
      </c>
      <c r="E1045" s="94">
        <f t="shared" si="145"/>
        <v>3.2545163792717635E-4</v>
      </c>
      <c r="F1045">
        <f t="shared" si="139"/>
        <v>160.97034366243861</v>
      </c>
      <c r="G1045">
        <f t="shared" si="140"/>
        <v>130.92894921100702</v>
      </c>
      <c r="H1045" s="94">
        <f t="shared" si="146"/>
        <v>3.8719915517365525E-4</v>
      </c>
      <c r="I1045" t="e">
        <f t="shared" si="141"/>
        <v>#DIV/0!</v>
      </c>
      <c r="J1045">
        <f t="shared" si="142"/>
        <v>603.83687691352532</v>
      </c>
      <c r="K1045" s="94">
        <f t="shared" si="147"/>
        <v>5.0624756837710359E-2</v>
      </c>
      <c r="L1045">
        <f t="shared" si="143"/>
        <v>4.3530968332137059</v>
      </c>
      <c r="M1045">
        <f t="shared" si="144"/>
        <v>4.2899441728634752E-18</v>
      </c>
    </row>
    <row r="1046" spans="1:13" x14ac:dyDescent="0.25">
      <c r="A1046" t="s">
        <v>28</v>
      </c>
      <c r="B1046" s="50">
        <f>MIN(GAMMAINV(0.05,B1050,1/B1051))</f>
        <v>2.259850574723864E-6</v>
      </c>
      <c r="D1046">
        <v>12</v>
      </c>
      <c r="E1046" s="94">
        <f t="shared" si="145"/>
        <v>3.57996801719894E-4</v>
      </c>
      <c r="F1046">
        <f t="shared" si="139"/>
        <v>145.37288617640215</v>
      </c>
      <c r="G1046">
        <f t="shared" si="140"/>
        <v>114.94140010769733</v>
      </c>
      <c r="H1046" s="94">
        <f t="shared" si="146"/>
        <v>4.2569308563354837E-4</v>
      </c>
      <c r="I1046" t="e">
        <f t="shared" si="141"/>
        <v>#DIV/0!</v>
      </c>
      <c r="J1046">
        <f t="shared" si="142"/>
        <v>556.92169257217063</v>
      </c>
      <c r="K1046" s="94">
        <f t="shared" si="147"/>
        <v>5.5686330191533198E-2</v>
      </c>
      <c r="L1046">
        <f t="shared" si="143"/>
        <v>4.0468251197866945</v>
      </c>
      <c r="M1046">
        <f t="shared" si="144"/>
        <v>4.8789021869175046E-20</v>
      </c>
    </row>
    <row r="1047" spans="1:13" x14ac:dyDescent="0.25">
      <c r="A1047" t="s">
        <v>29</v>
      </c>
      <c r="B1047" s="50">
        <f>MAX(GAMMAINV(0.99,B1050,1/B1051))</f>
        <v>3.8131589661041447E-3</v>
      </c>
      <c r="D1047">
        <v>13</v>
      </c>
      <c r="E1047" s="94">
        <f t="shared" si="145"/>
        <v>3.9054196551261165E-4</v>
      </c>
      <c r="F1047">
        <f t="shared" si="139"/>
        <v>132.30845647631352</v>
      </c>
      <c r="G1047">
        <f t="shared" si="140"/>
        <v>101.69133109887595</v>
      </c>
      <c r="H1047" s="94">
        <f t="shared" si="146"/>
        <v>4.6418701609344149E-4</v>
      </c>
      <c r="I1047" t="e">
        <f t="shared" si="141"/>
        <v>#DIV/0!</v>
      </c>
      <c r="J1047">
        <f t="shared" si="142"/>
        <v>515.76460854456138</v>
      </c>
      <c r="K1047" s="94">
        <f t="shared" si="147"/>
        <v>6.0747903545356037E-2</v>
      </c>
      <c r="L1047">
        <f t="shared" si="143"/>
        <v>3.7777396289686567</v>
      </c>
      <c r="M1047">
        <f t="shared" si="144"/>
        <v>5.5717812557547768E-22</v>
      </c>
    </row>
    <row r="1048" spans="1:13" x14ac:dyDescent="0.25">
      <c r="A1048" t="s">
        <v>262</v>
      </c>
      <c r="B1048">
        <f>'Bayes-Poisson'!D7</f>
        <v>0.5</v>
      </c>
      <c r="D1048">
        <v>14</v>
      </c>
      <c r="E1048" s="94">
        <f t="shared" si="145"/>
        <v>4.230871293053293E-4</v>
      </c>
      <c r="F1048">
        <f t="shared" si="139"/>
        <v>121.20452519074291</v>
      </c>
      <c r="G1048">
        <f t="shared" si="140"/>
        <v>90.556248539834073</v>
      </c>
      <c r="H1048" s="94">
        <f t="shared" si="146"/>
        <v>5.0268094655333466E-4</v>
      </c>
      <c r="I1048" t="e">
        <f t="shared" si="141"/>
        <v>#DIV/0!</v>
      </c>
      <c r="J1048">
        <f t="shared" si="142"/>
        <v>479.29998961611972</v>
      </c>
      <c r="K1048" s="94">
        <f t="shared" si="147"/>
        <v>6.5809476899178876E-2</v>
      </c>
      <c r="L1048">
        <f t="shared" si="143"/>
        <v>3.5388518606746375</v>
      </c>
      <c r="M1048">
        <f t="shared" si="144"/>
        <v>6.3852628659276303E-24</v>
      </c>
    </row>
    <row r="1049" spans="1:13" x14ac:dyDescent="0.25">
      <c r="A1049" t="s">
        <v>263</v>
      </c>
      <c r="B1049">
        <f>'Bayes-Poisson'!D8</f>
        <v>0</v>
      </c>
      <c r="D1049">
        <v>15</v>
      </c>
      <c r="E1049" s="94">
        <f t="shared" si="145"/>
        <v>4.5563229309804695E-4</v>
      </c>
      <c r="F1049">
        <f t="shared" si="139"/>
        <v>111.64972628800587</v>
      </c>
      <c r="G1049">
        <f t="shared" si="140"/>
        <v>81.088732109047186</v>
      </c>
      <c r="H1049" s="94">
        <f t="shared" si="146"/>
        <v>5.4117487701322783E-4</v>
      </c>
      <c r="I1049" t="e">
        <f t="shared" si="141"/>
        <v>#DIV/0!</v>
      </c>
      <c r="J1049">
        <f t="shared" si="142"/>
        <v>446.72516482009632</v>
      </c>
      <c r="K1049" s="94">
        <f t="shared" si="147"/>
        <v>7.0871050253001722E-2</v>
      </c>
      <c r="L1049">
        <f t="shared" si="143"/>
        <v>3.3249192411843715</v>
      </c>
      <c r="M1049">
        <f t="shared" si="144"/>
        <v>7.3392530279806905E-26</v>
      </c>
    </row>
    <row r="1050" spans="1:13" x14ac:dyDescent="0.25">
      <c r="A1050" t="s">
        <v>261</v>
      </c>
      <c r="B1050">
        <f>'Bayes-Poisson'!F17</f>
        <v>0.5</v>
      </c>
      <c r="D1050">
        <v>16</v>
      </c>
      <c r="E1050" s="94">
        <f t="shared" si="145"/>
        <v>4.881774568907646E-4</v>
      </c>
      <c r="F1050">
        <f t="shared" si="139"/>
        <v>103.34074279606476</v>
      </c>
      <c r="G1050">
        <f t="shared" si="140"/>
        <v>72.958800468668443</v>
      </c>
      <c r="H1050" s="94">
        <f t="shared" si="146"/>
        <v>5.7966880747312101E-4</v>
      </c>
      <c r="I1050" t="e">
        <f t="shared" si="141"/>
        <v>#DIV/0!</v>
      </c>
      <c r="J1050">
        <f t="shared" si="142"/>
        <v>417.42154896200196</v>
      </c>
      <c r="K1050" s="94">
        <f t="shared" si="147"/>
        <v>7.5932623606824567E-2</v>
      </c>
      <c r="L1050">
        <f t="shared" si="143"/>
        <v>3.1319171560089027</v>
      </c>
      <c r="M1050">
        <f t="shared" si="144"/>
        <v>8.4573710929207364E-28</v>
      </c>
    </row>
    <row r="1051" spans="1:13" x14ac:dyDescent="0.25">
      <c r="A1051" t="s">
        <v>266</v>
      </c>
      <c r="B1051">
        <f>'Bayes-Poisson'!F18</f>
        <v>870</v>
      </c>
      <c r="D1051">
        <v>17</v>
      </c>
      <c r="E1051" s="94">
        <f t="shared" si="145"/>
        <v>5.207226206834822E-4</v>
      </c>
      <c r="F1051">
        <f t="shared" si="139"/>
        <v>96.048929880464314</v>
      </c>
      <c r="G1051">
        <f t="shared" si="140"/>
        <v>65.91767726689551</v>
      </c>
      <c r="H1051" s="94">
        <f t="shared" si="146"/>
        <v>6.1816273793301418E-4</v>
      </c>
      <c r="I1051" t="e">
        <f t="shared" si="141"/>
        <v>#DIV/0!</v>
      </c>
      <c r="J1051">
        <f t="shared" si="142"/>
        <v>390.90301412055834</v>
      </c>
      <c r="K1051" s="94">
        <f t="shared" si="147"/>
        <v>8.0994196960647413E-2</v>
      </c>
      <c r="L1051">
        <f t="shared" si="143"/>
        <v>2.9566944757387206</v>
      </c>
      <c r="M1051">
        <f t="shared" si="144"/>
        <v>9.7675565171704681E-30</v>
      </c>
    </row>
    <row r="1052" spans="1:13" x14ac:dyDescent="0.25">
      <c r="A1052" t="s">
        <v>199</v>
      </c>
      <c r="B1052" s="50">
        <f>(B1047-B1046)/99</f>
        <v>3.849393045989314E-5</v>
      </c>
      <c r="D1052">
        <v>18</v>
      </c>
      <c r="E1052" s="94">
        <f t="shared" si="145"/>
        <v>5.5326778447619979E-4</v>
      </c>
      <c r="F1052">
        <f t="shared" si="139"/>
        <v>89.598609199184878</v>
      </c>
      <c r="G1052">
        <f t="shared" si="140"/>
        <v>59.774216543403973</v>
      </c>
      <c r="H1052" s="94">
        <f t="shared" si="146"/>
        <v>6.5665666839290736E-4</v>
      </c>
      <c r="I1052" t="e">
        <f t="shared" si="141"/>
        <v>#DIV/0!</v>
      </c>
      <c r="J1052">
        <f t="shared" si="142"/>
        <v>366.78101727895552</v>
      </c>
      <c r="K1052" s="94">
        <f t="shared" si="147"/>
        <v>8.6055770314470259E-2</v>
      </c>
      <c r="L1052">
        <f t="shared" si="143"/>
        <v>2.7967415633788937</v>
      </c>
      <c r="M1052">
        <f t="shared" si="144"/>
        <v>1.1302803602287275E-31</v>
      </c>
    </row>
    <row r="1053" spans="1:13" x14ac:dyDescent="0.25">
      <c r="A1053" s="107" t="s">
        <v>269</v>
      </c>
      <c r="B1053" s="108"/>
      <c r="D1053">
        <v>19</v>
      </c>
      <c r="E1053" s="94">
        <f t="shared" si="145"/>
        <v>5.8581294826891739E-4</v>
      </c>
      <c r="F1053">
        <f t="shared" si="139"/>
        <v>83.852530500940404</v>
      </c>
      <c r="G1053">
        <f t="shared" si="140"/>
        <v>54.3791051290101</v>
      </c>
      <c r="H1053" s="94">
        <f t="shared" si="146"/>
        <v>6.9515059885280053E-4</v>
      </c>
      <c r="I1053" t="e">
        <f t="shared" si="141"/>
        <v>#DIV/0!</v>
      </c>
      <c r="J1053">
        <f t="shared" si="142"/>
        <v>344.74039838508065</v>
      </c>
      <c r="K1053" s="94">
        <f t="shared" si="147"/>
        <v>9.1117343668293105E-2</v>
      </c>
      <c r="L1053">
        <f t="shared" si="143"/>
        <v>2.6500297095679497</v>
      </c>
      <c r="M1053">
        <f t="shared" si="144"/>
        <v>1.3102040853772033E-33</v>
      </c>
    </row>
    <row r="1054" spans="1:13" x14ac:dyDescent="0.25">
      <c r="A1054" t="s">
        <v>28</v>
      </c>
      <c r="B1054" s="50">
        <f>MIN(GAMMAINV(0.1, B1056,1/B1057),GAMMAINV(0.1,B1058,1/B1059))</f>
        <v>9.0232994819607012E-6</v>
      </c>
      <c r="D1054">
        <v>20</v>
      </c>
      <c r="E1054" s="94">
        <f t="shared" si="145"/>
        <v>6.1835811206163499E-4</v>
      </c>
      <c r="F1054">
        <f t="shared" si="139"/>
        <v>78.70188050937665</v>
      </c>
      <c r="G1054">
        <f t="shared" si="140"/>
        <v>49.614001081295072</v>
      </c>
      <c r="H1054" s="94">
        <f t="shared" si="146"/>
        <v>7.336445293126937E-4</v>
      </c>
      <c r="I1054" t="e">
        <f t="shared" si="141"/>
        <v>#DIV/0!</v>
      </c>
      <c r="J1054">
        <f t="shared" si="142"/>
        <v>324.52218222393213</v>
      </c>
      <c r="K1054" s="94">
        <f t="shared" si="147"/>
        <v>9.6178917022115951E-2</v>
      </c>
      <c r="L1054">
        <f t="shared" si="143"/>
        <v>2.5148973301927375</v>
      </c>
      <c r="M1054">
        <f t="shared" si="144"/>
        <v>1.5211177283874474E-35</v>
      </c>
    </row>
    <row r="1055" spans="1:13" x14ac:dyDescent="0.25">
      <c r="A1055" t="s">
        <v>29</v>
      </c>
      <c r="B1055" s="50">
        <f>MAX(BETAINV(0.99,B1056,B1057),BETAINV(0.99,B1058,B1059))</f>
        <v>0.50110478532794311</v>
      </c>
      <c r="D1055">
        <v>21</v>
      </c>
      <c r="E1055" s="94">
        <f t="shared" si="145"/>
        <v>6.5090327585435258E-4</v>
      </c>
      <c r="F1055">
        <f t="shared" si="139"/>
        <v>74.059260160996303</v>
      </c>
      <c r="G1055">
        <f t="shared" si="140"/>
        <v>45.383895487849848</v>
      </c>
      <c r="H1055" s="94">
        <f t="shared" si="146"/>
        <v>7.7213845977258688E-4</v>
      </c>
      <c r="I1055" t="e">
        <f t="shared" si="141"/>
        <v>#DIV/0!</v>
      </c>
      <c r="J1055">
        <f t="shared" si="142"/>
        <v>305.91110061882983</v>
      </c>
      <c r="K1055" s="94">
        <f t="shared" si="147"/>
        <v>0.1012404903759388</v>
      </c>
      <c r="L1055">
        <f t="shared" si="143"/>
        <v>2.3899676044362232</v>
      </c>
      <c r="M1055">
        <f t="shared" si="144"/>
        <v>1.7684343584484603E-37</v>
      </c>
    </row>
    <row r="1056" spans="1:13" x14ac:dyDescent="0.25">
      <c r="A1056" t="s">
        <v>262</v>
      </c>
      <c r="B1056">
        <f>'Bayes-Poisson'!D9</f>
        <v>0.5</v>
      </c>
      <c r="D1056">
        <v>22</v>
      </c>
      <c r="E1056" s="94">
        <f t="shared" si="145"/>
        <v>6.8344843964707018E-4</v>
      </c>
      <c r="F1056">
        <f t="shared" si="139"/>
        <v>69.853648702624255</v>
      </c>
      <c r="G1056">
        <f t="shared" si="140"/>
        <v>41.611632665772632</v>
      </c>
      <c r="H1056" s="94">
        <f t="shared" si="146"/>
        <v>8.1063239023248005E-4</v>
      </c>
      <c r="I1056" t="e">
        <f t="shared" si="141"/>
        <v>#DIV/0!</v>
      </c>
      <c r="J1056">
        <f t="shared" si="142"/>
        <v>288.72637101654931</v>
      </c>
      <c r="K1056" s="94">
        <f t="shared" si="147"/>
        <v>0.10630206372976164</v>
      </c>
      <c r="L1056">
        <f t="shared" si="143"/>
        <v>2.274087753363681</v>
      </c>
      <c r="M1056">
        <f t="shared" si="144"/>
        <v>2.0585362115207826E-39</v>
      </c>
    </row>
    <row r="1057" spans="1:13" x14ac:dyDescent="0.25">
      <c r="A1057" t="s">
        <v>263</v>
      </c>
      <c r="B1057">
        <f>'Bayes-Poisson'!D10</f>
        <v>5</v>
      </c>
      <c r="D1057">
        <v>23</v>
      </c>
      <c r="E1057" s="94">
        <f t="shared" si="145"/>
        <v>7.1599360343978778E-4</v>
      </c>
      <c r="F1057">
        <f t="shared" si="139"/>
        <v>66.02672761604282</v>
      </c>
      <c r="G1057">
        <f t="shared" si="140"/>
        <v>38.233908173256154</v>
      </c>
      <c r="H1057" s="94">
        <f t="shared" si="146"/>
        <v>8.4912632069237323E-4</v>
      </c>
      <c r="I1057" t="e">
        <f t="shared" si="141"/>
        <v>#DIV/0!</v>
      </c>
      <c r="J1057">
        <f t="shared" si="142"/>
        <v>272.81476855774628</v>
      </c>
      <c r="K1057" s="94">
        <f t="shared" si="147"/>
        <v>0.11136363708358449</v>
      </c>
      <c r="L1057">
        <f t="shared" si="143"/>
        <v>2.1662835273002345</v>
      </c>
      <c r="M1057">
        <f t="shared" si="144"/>
        <v>2.3989486432001366E-41</v>
      </c>
    </row>
    <row r="1058" spans="1:13" x14ac:dyDescent="0.25">
      <c r="A1058" t="s">
        <v>261</v>
      </c>
      <c r="B1058">
        <f>'Bayes-Poisson'!H17</f>
        <v>0.5</v>
      </c>
      <c r="D1058">
        <v>24</v>
      </c>
      <c r="E1058" s="94">
        <f t="shared" si="145"/>
        <v>7.4853876723250537E-4</v>
      </c>
      <c r="F1058">
        <f t="shared" si="139"/>
        <v>62.530153921158366</v>
      </c>
      <c r="G1058">
        <f t="shared" si="140"/>
        <v>35.198298983482182</v>
      </c>
      <c r="H1058" s="94">
        <f t="shared" si="146"/>
        <v>8.876202511522664E-4</v>
      </c>
      <c r="I1058" t="e">
        <f t="shared" si="141"/>
        <v>#DIV/0!</v>
      </c>
      <c r="J1058">
        <f t="shared" si="142"/>
        <v>258.04534367710176</v>
      </c>
      <c r="K1058" s="94">
        <f t="shared" si="147"/>
        <v>0.11642521043740733</v>
      </c>
      <c r="L1058">
        <f t="shared" si="143"/>
        <v>2.0657245827906925</v>
      </c>
      <c r="M1058">
        <f t="shared" si="144"/>
        <v>2.7985458908184445E-43</v>
      </c>
    </row>
    <row r="1059" spans="1:13" x14ac:dyDescent="0.25">
      <c r="A1059" t="s">
        <v>266</v>
      </c>
      <c r="B1059">
        <f>'Bayes-Poisson'!H18</f>
        <v>875</v>
      </c>
      <c r="D1059">
        <v>25</v>
      </c>
      <c r="E1059" s="94">
        <f t="shared" si="145"/>
        <v>7.8108393102522297E-4</v>
      </c>
      <c r="F1059">
        <f t="shared" si="139"/>
        <v>59.323508263431862</v>
      </c>
      <c r="G1059">
        <f t="shared" si="140"/>
        <v>32.461027577514145</v>
      </c>
      <c r="H1059" s="94">
        <f t="shared" si="146"/>
        <v>9.2611418161215957E-4</v>
      </c>
      <c r="I1059" t="e">
        <f t="shared" si="141"/>
        <v>#DIV/0!</v>
      </c>
      <c r="J1059">
        <f t="shared" si="142"/>
        <v>244.3053402010402</v>
      </c>
      <c r="K1059" s="94">
        <f t="shared" si="147"/>
        <v>0.12148678379123018</v>
      </c>
      <c r="L1059">
        <f t="shared" si="143"/>
        <v>1.9716977883365312</v>
      </c>
      <c r="M1059">
        <f t="shared" si="144"/>
        <v>3.2677944146633185E-45</v>
      </c>
    </row>
    <row r="1060" spans="1:13" x14ac:dyDescent="0.25">
      <c r="A1060" t="s">
        <v>199</v>
      </c>
      <c r="B1060" s="50">
        <f>(B1055-B1054)/99</f>
        <v>5.0615733538228406E-3</v>
      </c>
      <c r="D1060">
        <v>26</v>
      </c>
      <c r="E1060" s="94">
        <f t="shared" si="145"/>
        <v>8.1362909481794057E-4</v>
      </c>
      <c r="F1060">
        <f t="shared" si="139"/>
        <v>56.372730436692493</v>
      </c>
      <c r="G1060">
        <f t="shared" si="140"/>
        <v>29.985256403845039</v>
      </c>
      <c r="H1060" s="94">
        <f t="shared" si="146"/>
        <v>9.6460811207205275E-4</v>
      </c>
      <c r="I1060" t="e">
        <f t="shared" si="141"/>
        <v>#DIV/0!</v>
      </c>
      <c r="J1060">
        <f t="shared" si="142"/>
        <v>231.49700259535288</v>
      </c>
      <c r="K1060" s="94">
        <f t="shared" si="147"/>
        <v>0.12654835714505303</v>
      </c>
      <c r="L1060">
        <f t="shared" si="143"/>
        <v>1.8835863913211077</v>
      </c>
      <c r="M1060">
        <f t="shared" si="144"/>
        <v>3.8190406640858319E-47</v>
      </c>
    </row>
    <row r="1061" spans="1:13" x14ac:dyDescent="0.25">
      <c r="D1061">
        <v>27</v>
      </c>
      <c r="E1061" s="94">
        <f t="shared" si="145"/>
        <v>8.4617425861065816E-4</v>
      </c>
      <c r="F1061">
        <f t="shared" si="139"/>
        <v>53.648912224070443</v>
      </c>
      <c r="G1061">
        <f t="shared" si="140"/>
        <v>27.739771285819184</v>
      </c>
      <c r="H1061" s="94">
        <f t="shared" si="146"/>
        <v>1.0031020425319459E-3</v>
      </c>
      <c r="I1061" t="e">
        <f t="shared" si="141"/>
        <v>#DIV/0!</v>
      </c>
      <c r="J1061">
        <f t="shared" si="142"/>
        <v>219.53505087034489</v>
      </c>
      <c r="K1061" s="94">
        <f t="shared" si="147"/>
        <v>0.13160993049887587</v>
      </c>
      <c r="L1061">
        <f t="shared" si="143"/>
        <v>1.8008535778340697</v>
      </c>
      <c r="M1061">
        <f t="shared" si="144"/>
        <v>4.4668513839794484E-49</v>
      </c>
    </row>
    <row r="1062" spans="1:13" x14ac:dyDescent="0.25">
      <c r="D1062">
        <v>28</v>
      </c>
      <c r="E1062" s="94">
        <f t="shared" si="145"/>
        <v>8.7871942240337576E-4</v>
      </c>
      <c r="F1062">
        <f t="shared" si="139"/>
        <v>51.127355713329834</v>
      </c>
      <c r="G1062">
        <f t="shared" si="140"/>
        <v>25.69795392183546</v>
      </c>
      <c r="H1062" s="94">
        <f t="shared" si="146"/>
        <v>1.041595972991839E-3</v>
      </c>
      <c r="I1062" t="e">
        <f t="shared" si="141"/>
        <v>#DIV/0!</v>
      </c>
      <c r="J1062">
        <f t="shared" si="142"/>
        <v>208.34466315697694</v>
      </c>
      <c r="K1062" s="94">
        <f t="shared" si="147"/>
        <v>0.13667150385269872</v>
      </c>
      <c r="L1062">
        <f t="shared" si="143"/>
        <v>1.7230293666317136</v>
      </c>
      <c r="M1062">
        <f t="shared" si="144"/>
        <v>5.2284160782794507E-51</v>
      </c>
    </row>
    <row r="1063" spans="1:13" x14ac:dyDescent="0.25">
      <c r="D1063">
        <v>29</v>
      </c>
      <c r="E1063" s="94">
        <f t="shared" si="145"/>
        <v>9.1126458619609336E-4</v>
      </c>
      <c r="F1063">
        <f t="shared" si="139"/>
        <v>48.786831291818892</v>
      </c>
      <c r="G1063">
        <f t="shared" si="140"/>
        <v>23.836971919668791</v>
      </c>
      <c r="H1063" s="94">
        <f t="shared" si="146"/>
        <v>1.0800899034517321E-3</v>
      </c>
      <c r="I1063" t="e">
        <f t="shared" si="141"/>
        <v>#DIV/0!</v>
      </c>
      <c r="J1063">
        <f t="shared" si="142"/>
        <v>197.85984877337117</v>
      </c>
      <c r="K1063" s="94">
        <f t="shared" si="147"/>
        <v>0.14173307720652156</v>
      </c>
      <c r="L1063">
        <f t="shared" si="143"/>
        <v>1.6497000630248524</v>
      </c>
      <c r="M1063">
        <f t="shared" si="144"/>
        <v>6.1240230237145921E-53</v>
      </c>
    </row>
    <row r="1064" spans="1:13" x14ac:dyDescent="0.25">
      <c r="D1064">
        <v>30</v>
      </c>
      <c r="E1064" s="94">
        <f t="shared" si="145"/>
        <v>9.4380974998881095E-4</v>
      </c>
      <c r="F1064">
        <f t="shared" si="139"/>
        <v>46.608987542513837</v>
      </c>
      <c r="G1064">
        <f t="shared" si="140"/>
        <v>22.137134382681005</v>
      </c>
      <c r="H1064" s="94">
        <f t="shared" si="146"/>
        <v>1.1185838339116251E-3</v>
      </c>
      <c r="I1064" t="e">
        <f t="shared" si="141"/>
        <v>#DIV/0!</v>
      </c>
      <c r="J1064">
        <f t="shared" si="142"/>
        <v>188.02212484915103</v>
      </c>
      <c r="K1064" s="94">
        <f t="shared" si="147"/>
        <v>0.14679465056034441</v>
      </c>
      <c r="L1064">
        <f t="shared" si="143"/>
        <v>1.5804996992502407</v>
      </c>
      <c r="M1064">
        <f t="shared" si="144"/>
        <v>7.1776223308163782E-55</v>
      </c>
    </row>
    <row r="1065" spans="1:13" x14ac:dyDescent="0.25">
      <c r="D1065">
        <v>31</v>
      </c>
      <c r="E1065" s="94">
        <f t="shared" si="145"/>
        <v>9.7635491378152855E-4</v>
      </c>
      <c r="F1065">
        <f t="shared" si="139"/>
        <v>44.577877908732347</v>
      </c>
      <c r="G1065">
        <f t="shared" si="140"/>
        <v>20.581374810986127</v>
      </c>
      <c r="H1065" s="94">
        <f t="shared" si="146"/>
        <v>1.1570777643715182E-3</v>
      </c>
      <c r="I1065" t="e">
        <f t="shared" si="141"/>
        <v>#DIV/0!</v>
      </c>
      <c r="J1065">
        <f t="shared" si="142"/>
        <v>178.77943125050061</v>
      </c>
      <c r="K1065" s="94">
        <f t="shared" si="147"/>
        <v>0.15185622391416725</v>
      </c>
      <c r="L1065">
        <f t="shared" si="143"/>
        <v>1.5151030315320622</v>
      </c>
      <c r="M1065">
        <f t="shared" si="144"/>
        <v>8.417492041296396E-57</v>
      </c>
    </row>
    <row r="1066" spans="1:13" x14ac:dyDescent="0.25">
      <c r="D1066">
        <v>32</v>
      </c>
      <c r="E1066" s="94">
        <f t="shared" si="145"/>
        <v>1.0089000775742461E-3</v>
      </c>
      <c r="F1066">
        <f t="shared" si="139"/>
        <v>42.679577993524106</v>
      </c>
      <c r="G1066">
        <f t="shared" si="140"/>
        <v>19.154832864125346</v>
      </c>
      <c r="H1066" s="94">
        <f t="shared" si="146"/>
        <v>1.1955716948314112E-3</v>
      </c>
      <c r="I1066" t="e">
        <f t="shared" si="141"/>
        <v>#DIV/0!</v>
      </c>
      <c r="J1066">
        <f t="shared" si="142"/>
        <v>170.08523428291792</v>
      </c>
      <c r="K1066" s="94">
        <f t="shared" si="147"/>
        <v>0.1569177972679901</v>
      </c>
      <c r="L1066">
        <f t="shared" si="143"/>
        <v>1.4532197681646342</v>
      </c>
      <c r="M1066">
        <f t="shared" si="144"/>
        <v>9.8770262037317467E-59</v>
      </c>
    </row>
    <row r="1067" spans="1:13" x14ac:dyDescent="0.25">
      <c r="D1067">
        <v>33</v>
      </c>
      <c r="E1067" s="94">
        <f t="shared" si="145"/>
        <v>1.0414452413669637E-3</v>
      </c>
      <c r="F1067">
        <f t="shared" si="139"/>
        <v>40.90187384388755</v>
      </c>
      <c r="G1067">
        <f t="shared" si="140"/>
        <v>17.844513583773466</v>
      </c>
      <c r="H1067" s="94">
        <f t="shared" si="146"/>
        <v>1.2340656252913043E-3</v>
      </c>
      <c r="I1067" t="e">
        <f t="shared" si="141"/>
        <v>#DIV/0!</v>
      </c>
      <c r="J1067">
        <f t="shared" si="142"/>
        <v>161.89778120719245</v>
      </c>
      <c r="K1067" s="94">
        <f t="shared" si="147"/>
        <v>0.16197937062181295</v>
      </c>
      <c r="L1067">
        <f t="shared" si="143"/>
        <v>1.3945897793320898</v>
      </c>
      <c r="M1067">
        <f t="shared" si="144"/>
        <v>1.1595667368811016E-60</v>
      </c>
    </row>
    <row r="1068" spans="1:13" x14ac:dyDescent="0.25">
      <c r="D1068">
        <v>34</v>
      </c>
      <c r="E1068" s="94">
        <f t="shared" si="145"/>
        <v>1.0739904051596813E-3</v>
      </c>
      <c r="F1068">
        <f t="shared" si="139"/>
        <v>39.234006297329486</v>
      </c>
      <c r="G1068">
        <f t="shared" si="140"/>
        <v>16.639007817910031</v>
      </c>
      <c r="H1068" s="94">
        <f t="shared" si="146"/>
        <v>1.2725595557511974E-3</v>
      </c>
      <c r="I1068" t="e">
        <f t="shared" si="141"/>
        <v>#DIV/0!</v>
      </c>
      <c r="J1068">
        <f t="shared" si="142"/>
        <v>154.17947618996249</v>
      </c>
      <c r="K1068" s="94">
        <f t="shared" si="147"/>
        <v>0.16704094397563579</v>
      </c>
      <c r="L1068">
        <f t="shared" si="143"/>
        <v>1.3389790960426209</v>
      </c>
      <c r="M1068">
        <f t="shared" si="144"/>
        <v>1.3620010092841179E-62</v>
      </c>
    </row>
    <row r="1069" spans="1:13" x14ac:dyDescent="0.25">
      <c r="D1069">
        <v>35</v>
      </c>
      <c r="E1069" s="94">
        <f t="shared" si="145"/>
        <v>1.1065355689523989E-3</v>
      </c>
      <c r="F1069">
        <f t="shared" si="139"/>
        <v>37.666459952575913</v>
      </c>
      <c r="G1069">
        <f t="shared" si="140"/>
        <v>15.528261379616719</v>
      </c>
      <c r="H1069" s="94">
        <f t="shared" si="146"/>
        <v>1.3110534862110904E-3</v>
      </c>
      <c r="I1069" t="e">
        <f t="shared" si="141"/>
        <v>#DIV/0!</v>
      </c>
      <c r="J1069">
        <f t="shared" si="142"/>
        <v>146.8963547540329</v>
      </c>
      <c r="K1069" s="94">
        <f t="shared" si="147"/>
        <v>0.17210251732945864</v>
      </c>
      <c r="L1069">
        <f t="shared" si="143"/>
        <v>1.2861765480238785</v>
      </c>
      <c r="M1069">
        <f t="shared" si="144"/>
        <v>1.6005106954388532E-64</v>
      </c>
    </row>
    <row r="1070" spans="1:13" x14ac:dyDescent="0.25">
      <c r="D1070">
        <v>36</v>
      </c>
      <c r="E1070" s="94">
        <f t="shared" si="145"/>
        <v>1.1390807327451165E-3</v>
      </c>
      <c r="F1070">
        <f t="shared" si="139"/>
        <v>36.19078792054529</v>
      </c>
      <c r="G1070">
        <f t="shared" si="140"/>
        <v>14.503383297747297</v>
      </c>
      <c r="H1070" s="94">
        <f t="shared" si="146"/>
        <v>1.3495474166709835E-3</v>
      </c>
      <c r="I1070" t="e">
        <f t="shared" si="141"/>
        <v>#DIV/0!</v>
      </c>
      <c r="J1070">
        <f t="shared" si="142"/>
        <v>140.01763867667688</v>
      </c>
      <c r="K1070" s="94">
        <f t="shared" si="147"/>
        <v>0.17716409068328148</v>
      </c>
      <c r="L1070">
        <f t="shared" si="143"/>
        <v>1.2359909225664383</v>
      </c>
      <c r="M1070">
        <f t="shared" si="144"/>
        <v>1.8816014416793627E-66</v>
      </c>
    </row>
    <row r="1071" spans="1:13" x14ac:dyDescent="0.25">
      <c r="D1071">
        <v>37</v>
      </c>
      <c r="E1071" s="94">
        <f t="shared" si="145"/>
        <v>1.1716258965378341E-3</v>
      </c>
      <c r="F1071">
        <f t="shared" si="139"/>
        <v>34.799465461773551</v>
      </c>
      <c r="G1071">
        <f t="shared" si="140"/>
        <v>13.5564856401779</v>
      </c>
      <c r="H1071" s="94">
        <f t="shared" si="146"/>
        <v>1.3880413471308766E-3</v>
      </c>
      <c r="I1071" t="e">
        <f t="shared" si="141"/>
        <v>#DIV/0!</v>
      </c>
      <c r="J1071">
        <f t="shared" si="142"/>
        <v>133.51535701795257</v>
      </c>
      <c r="K1071" s="94">
        <f t="shared" si="147"/>
        <v>0.18222566403710433</v>
      </c>
      <c r="L1071">
        <f t="shared" si="143"/>
        <v>1.1882485508466427</v>
      </c>
      <c r="M1071">
        <f t="shared" si="144"/>
        <v>2.2129622778532805E-68</v>
      </c>
    </row>
    <row r="1072" spans="1:13" x14ac:dyDescent="0.25">
      <c r="D1072">
        <v>38</v>
      </c>
      <c r="E1072" s="94">
        <f t="shared" si="145"/>
        <v>1.2041710603305517E-3</v>
      </c>
      <c r="F1072">
        <f t="shared" si="139"/>
        <v>33.485767095415412</v>
      </c>
      <c r="G1072">
        <f t="shared" si="140"/>
        <v>12.680549001281689</v>
      </c>
      <c r="H1072" s="94">
        <f t="shared" si="146"/>
        <v>1.4265352775907696E-3</v>
      </c>
      <c r="I1072" t="e">
        <f t="shared" si="141"/>
        <v>#DIV/0!</v>
      </c>
      <c r="J1072">
        <f t="shared" si="142"/>
        <v>127.36402184034175</v>
      </c>
      <c r="K1072" s="94">
        <f t="shared" si="147"/>
        <v>0.18728723739092717</v>
      </c>
      <c r="L1072">
        <f t="shared" si="143"/>
        <v>1.1427912471632837</v>
      </c>
      <c r="M1072">
        <f t="shared" si="144"/>
        <v>2.6036822645209858E-70</v>
      </c>
    </row>
    <row r="1073" spans="4:13" x14ac:dyDescent="0.25">
      <c r="D1073">
        <v>39</v>
      </c>
      <c r="E1073" s="94">
        <f t="shared" si="145"/>
        <v>1.2367162241232693E-3</v>
      </c>
      <c r="F1073">
        <f t="shared" si="139"/>
        <v>32.243662895986049</v>
      </c>
      <c r="G1073">
        <f t="shared" si="140"/>
        <v>11.869308977651473</v>
      </c>
      <c r="H1073" s="94">
        <f t="shared" si="146"/>
        <v>1.4650292080506627E-3</v>
      </c>
      <c r="I1073" t="e">
        <f t="shared" si="141"/>
        <v>#DIV/0!</v>
      </c>
      <c r="J1073">
        <f t="shared" si="142"/>
        <v>121.5403494190424</v>
      </c>
      <c r="K1073" s="94">
        <f t="shared" si="147"/>
        <v>0.19234881074475002</v>
      </c>
      <c r="L1073">
        <f t="shared" si="143"/>
        <v>1.0994745411973659</v>
      </c>
      <c r="M1073">
        <f t="shared" si="144"/>
        <v>3.0645070070195096E-72</v>
      </c>
    </row>
    <row r="1074" spans="4:13" x14ac:dyDescent="0.25">
      <c r="D1074">
        <v>40</v>
      </c>
      <c r="E1074" s="94">
        <f t="shared" si="145"/>
        <v>1.2692613879159869E-3</v>
      </c>
      <c r="F1074">
        <f t="shared" si="139"/>
        <v>31.067730565818508</v>
      </c>
      <c r="G1074">
        <f t="shared" si="140"/>
        <v>11.117159906323206</v>
      </c>
      <c r="H1074" s="94">
        <f t="shared" si="146"/>
        <v>1.5035231385105558E-3</v>
      </c>
      <c r="I1074" t="e">
        <f t="shared" si="141"/>
        <v>#DIV/0!</v>
      </c>
      <c r="J1074">
        <f t="shared" si="142"/>
        <v>116.02301949488073</v>
      </c>
      <c r="K1074" s="94">
        <f t="shared" si="147"/>
        <v>0.19741038409857287</v>
      </c>
      <c r="L1074">
        <f t="shared" si="143"/>
        <v>1.05816615488203</v>
      </c>
      <c r="M1074">
        <f t="shared" si="144"/>
        <v>3.6081424028862886E-74</v>
      </c>
    </row>
    <row r="1075" spans="4:13" x14ac:dyDescent="0.25">
      <c r="D1075">
        <v>41</v>
      </c>
      <c r="E1075" s="94">
        <f t="shared" si="145"/>
        <v>1.3018065517087045E-3</v>
      </c>
      <c r="F1075">
        <f t="shared" si="139"/>
        <v>29.953080548212409</v>
      </c>
      <c r="G1075">
        <f t="shared" si="140"/>
        <v>10.419072877886178</v>
      </c>
      <c r="H1075" s="94">
        <f t="shared" si="146"/>
        <v>1.5420170689704488E-3</v>
      </c>
      <c r="I1075" t="e">
        <f t="shared" si="141"/>
        <v>#DIV/0!</v>
      </c>
      <c r="J1075">
        <f t="shared" si="142"/>
        <v>110.79246650403979</v>
      </c>
      <c r="K1075" s="94">
        <f t="shared" si="147"/>
        <v>0.20247195745239571</v>
      </c>
      <c r="L1075">
        <f t="shared" si="143"/>
        <v>1.0187446845107506</v>
      </c>
      <c r="M1075">
        <f t="shared" si="144"/>
        <v>4.2496143550294687E-76</v>
      </c>
    </row>
    <row r="1076" spans="4:13" x14ac:dyDescent="0.25">
      <c r="D1076">
        <v>42</v>
      </c>
      <c r="E1076" s="94">
        <f t="shared" si="145"/>
        <v>1.3343517155014221E-3</v>
      </c>
      <c r="F1076">
        <f t="shared" si="139"/>
        <v>28.895291975664819</v>
      </c>
      <c r="G1076">
        <f t="shared" si="140"/>
        <v>9.7705256142748436</v>
      </c>
      <c r="H1076" s="94">
        <f t="shared" si="146"/>
        <v>1.5805109994303419E-3</v>
      </c>
      <c r="I1076" t="e">
        <f t="shared" si="141"/>
        <v>#DIV/0!</v>
      </c>
      <c r="J1076">
        <f t="shared" si="142"/>
        <v>105.83069781619484</v>
      </c>
      <c r="K1076" s="94">
        <f t="shared" si="147"/>
        <v>0.20753353080621856</v>
      </c>
      <c r="L1076">
        <f t="shared" si="143"/>
        <v>0.98109845588108135</v>
      </c>
      <c r="M1076">
        <f t="shared" si="144"/>
        <v>5.0066948029121885E-78</v>
      </c>
    </row>
    <row r="1077" spans="4:13" x14ac:dyDescent="0.25">
      <c r="D1077">
        <v>43</v>
      </c>
      <c r="E1077" s="94">
        <f t="shared" si="145"/>
        <v>1.3668968792941397E-3</v>
      </c>
      <c r="F1077">
        <f t="shared" si="139"/>
        <v>27.890357664329958</v>
      </c>
      <c r="G1077">
        <f t="shared" si="140"/>
        <v>9.1674422557222712</v>
      </c>
      <c r="H1077" s="94">
        <f t="shared" si="146"/>
        <v>1.619004929890235E-3</v>
      </c>
      <c r="I1077" t="e">
        <f t="shared" si="141"/>
        <v>#DIV/0!</v>
      </c>
      <c r="J1077">
        <f t="shared" si="142"/>
        <v>101.12113488940743</v>
      </c>
      <c r="K1077" s="94">
        <f t="shared" si="147"/>
        <v>0.2125951041600414</v>
      </c>
      <c r="L1077">
        <f t="shared" si="143"/>
        <v>0.94512452599209962</v>
      </c>
      <c r="M1077">
        <f t="shared" si="144"/>
        <v>5.9004063452492184E-80</v>
      </c>
    </row>
    <row r="1078" spans="4:13" x14ac:dyDescent="0.25">
      <c r="D1078">
        <v>44</v>
      </c>
      <c r="E1078" s="94">
        <f t="shared" si="145"/>
        <v>1.3994420430868573E-3</v>
      </c>
      <c r="F1078">
        <f t="shared" si="139"/>
        <v>26.934636695989518</v>
      </c>
      <c r="G1078">
        <f t="shared" si="140"/>
        <v>8.6061414616555005</v>
      </c>
      <c r="H1078" s="94">
        <f t="shared" si="146"/>
        <v>1.657498860350128E-3</v>
      </c>
      <c r="I1078" t="e">
        <f t="shared" si="141"/>
        <v>#DIV/0!</v>
      </c>
      <c r="J1078">
        <f t="shared" si="142"/>
        <v>96.648473954813483</v>
      </c>
      <c r="K1078" s="94">
        <f t="shared" si="147"/>
        <v>0.21765667751386425</v>
      </c>
      <c r="L1078">
        <f t="shared" si="143"/>
        <v>0.91072780940621312</v>
      </c>
      <c r="M1078">
        <f t="shared" si="144"/>
        <v>6.955620006482621E-82</v>
      </c>
    </row>
    <row r="1079" spans="4:13" x14ac:dyDescent="0.25">
      <c r="D1079">
        <v>45</v>
      </c>
      <c r="E1079" s="94">
        <f t="shared" si="145"/>
        <v>1.4319872068795749E-3</v>
      </c>
      <c r="F1079">
        <f t="shared" si="139"/>
        <v>26.024813391896032</v>
      </c>
      <c r="G1079">
        <f t="shared" si="140"/>
        <v>8.0832915175265416</v>
      </c>
      <c r="H1079" s="94">
        <f t="shared" si="146"/>
        <v>1.6959927908100211E-3</v>
      </c>
      <c r="I1079" t="e">
        <f t="shared" si="141"/>
        <v>#DIV/0!</v>
      </c>
      <c r="J1079">
        <f t="shared" si="142"/>
        <v>92.398563413741527</v>
      </c>
      <c r="K1079" s="94">
        <f t="shared" si="147"/>
        <v>0.2227182508676871</v>
      </c>
      <c r="L1079">
        <f t="shared" si="143"/>
        <v>0.87782031109367376</v>
      </c>
      <c r="M1079">
        <f t="shared" si="144"/>
        <v>8.2017634023126658E-84</v>
      </c>
    </row>
    <row r="1080" spans="4:13" x14ac:dyDescent="0.25">
      <c r="D1080">
        <v>46</v>
      </c>
      <c r="E1080" s="94">
        <f t="shared" si="145"/>
        <v>1.4645323706722925E-3</v>
      </c>
      <c r="F1080">
        <f t="shared" si="139"/>
        <v>25.157861693685273</v>
      </c>
      <c r="G1080">
        <f t="shared" si="140"/>
        <v>7.5958713698243949</v>
      </c>
      <c r="H1080" s="94">
        <f t="shared" si="146"/>
        <v>1.7344867212699142E-3</v>
      </c>
      <c r="I1080" t="e">
        <f t="shared" si="141"/>
        <v>#DIV/0!</v>
      </c>
      <c r="J1080">
        <f t="shared" si="142"/>
        <v>88.358295592794519</v>
      </c>
      <c r="K1080" s="94">
        <f t="shared" si="147"/>
        <v>0.22777982422150994</v>
      </c>
      <c r="L1080">
        <f t="shared" si="143"/>
        <v>0.84632045058765093</v>
      </c>
      <c r="M1080">
        <f t="shared" si="144"/>
        <v>9.6736597659821041E-86</v>
      </c>
    </row>
    <row r="1081" spans="4:13" x14ac:dyDescent="0.25">
      <c r="D1081">
        <v>47</v>
      </c>
      <c r="E1081" s="94">
        <f t="shared" si="145"/>
        <v>1.4970775344650101E-3</v>
      </c>
      <c r="F1081">
        <f t="shared" si="139"/>
        <v>24.331014136429424</v>
      </c>
      <c r="G1081">
        <f t="shared" si="140"/>
        <v>7.1411366970962495</v>
      </c>
      <c r="H1081" s="94">
        <f t="shared" si="146"/>
        <v>1.7729806517298072E-3</v>
      </c>
      <c r="I1081" t="e">
        <f t="shared" si="141"/>
        <v>#DIV/0!</v>
      </c>
      <c r="J1081">
        <f t="shared" si="142"/>
        <v>84.515510880547538</v>
      </c>
      <c r="K1081" s="94">
        <f t="shared" si="147"/>
        <v>0.23284139757533279</v>
      </c>
      <c r="L1081">
        <f t="shared" si="143"/>
        <v>0.81615246473307002</v>
      </c>
      <c r="M1081">
        <f t="shared" si="144"/>
        <v>1.1412522100802302E-87</v>
      </c>
    </row>
    <row r="1082" spans="4:13" x14ac:dyDescent="0.25">
      <c r="D1082">
        <v>48</v>
      </c>
      <c r="E1082" s="94">
        <f t="shared" si="145"/>
        <v>1.5296226982577277E-3</v>
      </c>
      <c r="F1082">
        <f t="shared" si="139"/>
        <v>23.541734736479022</v>
      </c>
      <c r="G1082">
        <f t="shared" si="140"/>
        <v>6.7165902751544273</v>
      </c>
      <c r="H1082" s="94">
        <f t="shared" si="146"/>
        <v>1.8114745821897003E-3</v>
      </c>
      <c r="I1082" t="e">
        <f t="shared" si="141"/>
        <v>#DIV/0!</v>
      </c>
      <c r="J1082">
        <f t="shared" si="142"/>
        <v>80.85891257989249</v>
      </c>
      <c r="K1082" s="94">
        <f t="shared" si="147"/>
        <v>0.23790297092915563</v>
      </c>
      <c r="L1082">
        <f t="shared" si="143"/>
        <v>0.7872458783254771</v>
      </c>
      <c r="M1082">
        <f t="shared" si="144"/>
        <v>1.3467131237138859E-89</v>
      </c>
    </row>
    <row r="1083" spans="4:13" x14ac:dyDescent="0.25">
      <c r="D1083">
        <v>49</v>
      </c>
      <c r="E1083" s="94">
        <f t="shared" si="145"/>
        <v>1.5621678620504453E-3</v>
      </c>
      <c r="F1083">
        <f t="shared" si="139"/>
        <v>22.787695228706561</v>
      </c>
      <c r="G1083">
        <f t="shared" si="140"/>
        <v>6.3199560170460751</v>
      </c>
      <c r="H1083" s="94">
        <f t="shared" si="146"/>
        <v>1.8499685126495934E-3</v>
      </c>
      <c r="I1083" t="e">
        <f t="shared" si="141"/>
        <v>#DIV/0!</v>
      </c>
      <c r="J1083">
        <f t="shared" si="142"/>
        <v>77.37799106602661</v>
      </c>
      <c r="K1083" s="94">
        <f t="shared" si="147"/>
        <v>0.24296454428297848</v>
      </c>
      <c r="L1083">
        <f t="shared" si="143"/>
        <v>0.7595350335943214</v>
      </c>
      <c r="M1083">
        <f t="shared" si="144"/>
        <v>1.589523192613395E-91</v>
      </c>
    </row>
    <row r="1084" spans="4:13" x14ac:dyDescent="0.25">
      <c r="D1084">
        <v>50</v>
      </c>
      <c r="E1084" s="94">
        <f t="shared" si="145"/>
        <v>1.5947130258431629E-3</v>
      </c>
      <c r="F1084">
        <f t="shared" si="139"/>
        <v>22.066754179311253</v>
      </c>
      <c r="G1084">
        <f t="shared" si="140"/>
        <v>5.9491561684759979</v>
      </c>
      <c r="H1084" s="94">
        <f t="shared" si="146"/>
        <v>1.8884624431094864E-3</v>
      </c>
      <c r="I1084" t="e">
        <f t="shared" si="141"/>
        <v>#DIV/0!</v>
      </c>
      <c r="J1084">
        <f t="shared" si="142"/>
        <v>74.062956052114103</v>
      </c>
      <c r="K1084" s="94">
        <f t="shared" si="147"/>
        <v>0.24802611763680132</v>
      </c>
      <c r="L1084">
        <f t="shared" si="143"/>
        <v>0.73295867085691513</v>
      </c>
      <c r="M1084">
        <f t="shared" si="144"/>
        <v>1.8765187455058852E-93</v>
      </c>
    </row>
    <row r="1085" spans="4:13" x14ac:dyDescent="0.25">
      <c r="D1085">
        <v>51</v>
      </c>
      <c r="E1085" s="94">
        <f t="shared" si="145"/>
        <v>1.6272581896358805E-3</v>
      </c>
      <c r="F1085">
        <f t="shared" si="139"/>
        <v>21.376938575531373</v>
      </c>
      <c r="G1085">
        <f t="shared" si="140"/>
        <v>5.602291221623668</v>
      </c>
      <c r="H1085" s="94">
        <f t="shared" si="146"/>
        <v>1.9269563735693795E-3</v>
      </c>
      <c r="I1085" t="e">
        <f t="shared" si="141"/>
        <v>#DIV/0!</v>
      </c>
      <c r="J1085">
        <f t="shared" si="142"/>
        <v>70.90467594104156</v>
      </c>
      <c r="K1085" s="94">
        <f t="shared" si="147"/>
        <v>0.25308769099062417</v>
      </c>
      <c r="L1085">
        <f t="shared" si="143"/>
        <v>0.70745955380921699</v>
      </c>
      <c r="M1085">
        <f t="shared" si="144"/>
        <v>2.2157940806952623E-95</v>
      </c>
    </row>
    <row r="1086" spans="4:13" x14ac:dyDescent="0.25">
      <c r="D1086">
        <v>52</v>
      </c>
      <c r="E1086" s="94">
        <f t="shared" si="145"/>
        <v>1.6598033534285981E-3</v>
      </c>
      <c r="F1086">
        <f t="shared" si="139"/>
        <v>20.716427555624421</v>
      </c>
      <c r="G1086">
        <f t="shared" si="140"/>
        <v>5.2776221781588166</v>
      </c>
      <c r="H1086" s="94">
        <f t="shared" si="146"/>
        <v>1.9654503040292728E-3</v>
      </c>
      <c r="I1086" t="e">
        <f t="shared" si="141"/>
        <v>#DIV/0!</v>
      </c>
      <c r="J1086">
        <f t="shared" si="142"/>
        <v>67.894623389024432</v>
      </c>
      <c r="K1086" s="94">
        <f t="shared" si="147"/>
        <v>0.25814926434444702</v>
      </c>
      <c r="L1086">
        <f t="shared" si="143"/>
        <v>0.68298413387052437</v>
      </c>
      <c r="M1086">
        <f t="shared" si="144"/>
        <v>2.6169339331729082E-97</v>
      </c>
    </row>
    <row r="1087" spans="4:13" x14ac:dyDescent="0.25">
      <c r="D1087">
        <v>53</v>
      </c>
      <c r="E1087" s="94">
        <f t="shared" si="145"/>
        <v>1.6923485172213157E-3</v>
      </c>
      <c r="F1087">
        <f t="shared" si="139"/>
        <v>20.083537993833929</v>
      </c>
      <c r="G1087">
        <f t="shared" si="140"/>
        <v>4.973554848482272</v>
      </c>
      <c r="H1087" s="94">
        <f t="shared" si="146"/>
        <v>2.0039442344891661E-3</v>
      </c>
      <c r="I1087" t="e">
        <f t="shared" si="141"/>
        <v>#DIV/0!</v>
      </c>
      <c r="J1087">
        <f t="shared" si="142"/>
        <v>65.024826330374822</v>
      </c>
      <c r="K1087" s="94">
        <f t="shared" si="147"/>
        <v>0.26321083769826986</v>
      </c>
      <c r="L1087">
        <f t="shared" si="143"/>
        <v>0.65948224879563933</v>
      </c>
      <c r="M1087">
        <f t="shared" si="144"/>
        <v>3.0912890510242998E-99</v>
      </c>
    </row>
    <row r="1088" spans="4:13" x14ac:dyDescent="0.25">
      <c r="D1088">
        <v>54</v>
      </c>
      <c r="E1088" s="94">
        <f t="shared" si="145"/>
        <v>1.7248936810140333E-3</v>
      </c>
      <c r="F1088">
        <f t="shared" si="139"/>
        <v>19.476711697762411</v>
      </c>
      <c r="G1088">
        <f t="shared" si="140"/>
        <v>4.6886259209789909</v>
      </c>
      <c r="H1088" s="94">
        <f t="shared" si="146"/>
        <v>2.0424381649490593E-3</v>
      </c>
      <c r="I1088" t="e">
        <f t="shared" si="141"/>
        <v>#DIV/0!</v>
      </c>
      <c r="J1088">
        <f t="shared" si="142"/>
        <v>62.287823816735212</v>
      </c>
      <c r="K1088" s="94">
        <f t="shared" si="147"/>
        <v>0.26827241105209271</v>
      </c>
      <c r="L1088">
        <f t="shared" si="143"/>
        <v>0.63690685143761516</v>
      </c>
      <c r="M1088">
        <f t="shared" si="144"/>
        <v>3.6523028989306521E-101</v>
      </c>
    </row>
    <row r="1089" spans="4:13" x14ac:dyDescent="0.25">
      <c r="D1089">
        <v>55</v>
      </c>
      <c r="E1089" s="94">
        <f t="shared" si="145"/>
        <v>1.7574388448067509E-3</v>
      </c>
      <c r="F1089">
        <f t="shared" si="139"/>
        <v>18.894504011205491</v>
      </c>
      <c r="G1089">
        <f t="shared" si="140"/>
        <v>4.4214905741072412</v>
      </c>
      <c r="H1089" s="94">
        <f t="shared" si="146"/>
        <v>2.0809320954089526E-3</v>
      </c>
      <c r="I1089" t="e">
        <f t="shared" si="141"/>
        <v>#DIV/0!</v>
      </c>
      <c r="J1089">
        <f t="shared" si="142"/>
        <v>59.676626111930126</v>
      </c>
      <c r="K1089" s="94">
        <f t="shared" si="147"/>
        <v>0.27333398440591555</v>
      </c>
      <c r="L1089">
        <f t="shared" si="143"/>
        <v>0.61521376510907633</v>
      </c>
      <c r="M1089">
        <f t="shared" si="144"/>
        <v>4.3158990015152994E-103</v>
      </c>
    </row>
    <row r="1090" spans="4:13" x14ac:dyDescent="0.25">
      <c r="D1090">
        <v>56</v>
      </c>
      <c r="E1090" s="94">
        <f t="shared" si="145"/>
        <v>1.7899840085994685E-3</v>
      </c>
      <c r="F1090">
        <f t="shared" si="139"/>
        <v>18.335573645349211</v>
      </c>
      <c r="G1090">
        <f t="shared" si="140"/>
        <v>4.170911436855091</v>
      </c>
      <c r="H1090" s="94">
        <f t="shared" si="146"/>
        <v>2.1194260258688459E-3</v>
      </c>
      <c r="I1090" t="e">
        <f t="shared" si="141"/>
        <v>#DIV/0!</v>
      </c>
      <c r="J1090">
        <f t="shared" si="142"/>
        <v>57.184678558052887</v>
      </c>
      <c r="K1090" s="94">
        <f t="shared" si="147"/>
        <v>0.2783955577597384</v>
      </c>
      <c r="L1090">
        <f t="shared" si="143"/>
        <v>0.59436146246833943</v>
      </c>
      <c r="M1090">
        <f t="shared" si="144"/>
        <v>5.1009402135851868E-105</v>
      </c>
    </row>
    <row r="1091" spans="4:13" x14ac:dyDescent="0.25">
      <c r="D1091">
        <v>57</v>
      </c>
      <c r="E1091" s="94">
        <f t="shared" si="145"/>
        <v>1.8225291723921861E-3</v>
      </c>
      <c r="F1091">
        <f t="shared" si="139"/>
        <v>17.798673586318337</v>
      </c>
      <c r="G1091">
        <f t="shared" si="140"/>
        <v>3.9357487305937511</v>
      </c>
      <c r="H1091" s="94">
        <f t="shared" si="146"/>
        <v>2.1579199563287392E-3</v>
      </c>
      <c r="I1091" t="e">
        <f t="shared" si="141"/>
        <v>#DIV/0!</v>
      </c>
      <c r="J1091">
        <f t="shared" si="142"/>
        <v>54.805828791734484</v>
      </c>
      <c r="K1091" s="94">
        <f t="shared" si="147"/>
        <v>0.28345713111356124</v>
      </c>
      <c r="L1091">
        <f t="shared" si="143"/>
        <v>0.57431086526275388</v>
      </c>
      <c r="M1091">
        <f t="shared" si="144"/>
        <v>6.0297733102557369E-107</v>
      </c>
    </row>
    <row r="1092" spans="4:13" x14ac:dyDescent="0.25">
      <c r="D1092">
        <v>58</v>
      </c>
      <c r="E1092" s="94">
        <f t="shared" si="145"/>
        <v>1.8550743361849037E-3</v>
      </c>
      <c r="F1092">
        <f t="shared" si="139"/>
        <v>17.282642948216591</v>
      </c>
      <c r="G1092">
        <f t="shared" si="140"/>
        <v>3.7149514485538817</v>
      </c>
      <c r="H1092" s="94">
        <f t="shared" si="146"/>
        <v>2.1964138867886325E-3</v>
      </c>
      <c r="I1092" t="e">
        <f t="shared" si="141"/>
        <v>#DIV/0!</v>
      </c>
      <c r="J1092">
        <f t="shared" si="142"/>
        <v>52.534296943574304</v>
      </c>
      <c r="K1092" s="94">
        <f t="shared" si="147"/>
        <v>0.28851870446738409</v>
      </c>
      <c r="L1092">
        <f t="shared" si="143"/>
        <v>0.55502516260781365</v>
      </c>
      <c r="M1092">
        <f t="shared" si="144"/>
        <v>7.1288747896374068E-109</v>
      </c>
    </row>
    <row r="1093" spans="4:13" x14ac:dyDescent="0.25">
      <c r="D1093">
        <v>59</v>
      </c>
      <c r="E1093" s="94">
        <f t="shared" si="145"/>
        <v>1.8876194999776213E-3</v>
      </c>
      <c r="F1093">
        <f t="shared" si="139"/>
        <v>16.786399658695768</v>
      </c>
      <c r="G1093">
        <f t="shared" si="140"/>
        <v>3.5075494487811012</v>
      </c>
      <c r="H1093" s="94">
        <f t="shared" si="146"/>
        <v>2.2349078172485257E-3</v>
      </c>
      <c r="I1093" t="e">
        <f t="shared" si="141"/>
        <v>#DIV/0!</v>
      </c>
      <c r="J1093">
        <f t="shared" si="142"/>
        <v>50.364648499954825</v>
      </c>
      <c r="K1093" s="94">
        <f t="shared" si="147"/>
        <v>0.29358027782120694</v>
      </c>
      <c r="L1093">
        <f t="shared" si="143"/>
        <v>0.53646964577642176</v>
      </c>
      <c r="M1093">
        <f t="shared" si="144"/>
        <v>8.4296167479436059E-111</v>
      </c>
    </row>
    <row r="1094" spans="4:13" x14ac:dyDescent="0.25">
      <c r="D1094">
        <v>60</v>
      </c>
      <c r="E1094" s="94">
        <f t="shared" si="145"/>
        <v>1.9201646637703389E-3</v>
      </c>
      <c r="F1094">
        <f t="shared" si="139"/>
        <v>16.308933879276321</v>
      </c>
      <c r="G1094">
        <f t="shared" si="140"/>
        <v>3.3126463530905399</v>
      </c>
      <c r="H1094" s="94">
        <f t="shared" si="146"/>
        <v>2.273401747708419E-3</v>
      </c>
      <c r="I1094" t="e">
        <f t="shared" si="141"/>
        <v>#DIV/0!</v>
      </c>
      <c r="J1094">
        <f t="shared" si="142"/>
        <v>48.291769546154399</v>
      </c>
      <c r="K1094" s="94">
        <f t="shared" si="147"/>
        <v>0.29864185117502978</v>
      </c>
      <c r="L1094">
        <f t="shared" si="143"/>
        <v>0.51861155772629086</v>
      </c>
      <c r="M1094">
        <f t="shared" si="144"/>
        <v>9.9691752091579778E-113</v>
      </c>
    </row>
    <row r="1095" spans="4:13" x14ac:dyDescent="0.25">
      <c r="D1095">
        <v>61</v>
      </c>
      <c r="E1095" s="94">
        <f t="shared" si="145"/>
        <v>1.9527098275630564E-3</v>
      </c>
      <c r="F1095">
        <f t="shared" si="139"/>
        <v>15.849302075567131</v>
      </c>
      <c r="G1095">
        <f t="shared" si="140"/>
        <v>3.1294131587274867</v>
      </c>
      <c r="H1095" s="94">
        <f t="shared" si="146"/>
        <v>2.3118956781683123E-3</v>
      </c>
      <c r="I1095" t="e">
        <f t="shared" si="141"/>
        <v>#DIV/0!</v>
      </c>
      <c r="J1095">
        <f t="shared" si="142"/>
        <v>46.310844143840157</v>
      </c>
      <c r="K1095" s="94">
        <f t="shared" si="147"/>
        <v>0.30370342452885263</v>
      </c>
      <c r="L1095">
        <f t="shared" si="143"/>
        <v>0.50141995581147647</v>
      </c>
      <c r="M1095">
        <f t="shared" si="144"/>
        <v>1.1791607472795385E-114</v>
      </c>
    </row>
    <row r="1096" spans="4:13" x14ac:dyDescent="0.25">
      <c r="D1096">
        <v>62</v>
      </c>
      <c r="E1096" s="94">
        <f t="shared" si="145"/>
        <v>1.985254991355774E-3</v>
      </c>
      <c r="F1096">
        <f t="shared" si="139"/>
        <v>15.406621663564346</v>
      </c>
      <c r="G1096">
        <f t="shared" si="140"/>
        <v>2.9570824815548971</v>
      </c>
      <c r="H1096" s="94">
        <f t="shared" si="146"/>
        <v>2.3503896086282056E-3</v>
      </c>
      <c r="I1096" t="e">
        <f t="shared" si="141"/>
        <v>#DIV/0!</v>
      </c>
      <c r="J1096">
        <f t="shared" si="142"/>
        <v>44.417333625516314</v>
      </c>
      <c r="K1096" s="94">
        <f t="shared" si="147"/>
        <v>0.30876499788267547</v>
      </c>
      <c r="L1096">
        <f t="shared" si="143"/>
        <v>0.48486558631198157</v>
      </c>
      <c r="M1096">
        <f t="shared" si="144"/>
        <v>1.3949130007338007E-116</v>
      </c>
    </row>
    <row r="1097" spans="4:13" x14ac:dyDescent="0.25">
      <c r="D1097">
        <v>63</v>
      </c>
      <c r="E1097" s="94">
        <f t="shared" si="145"/>
        <v>2.0178001551484919E-3</v>
      </c>
      <c r="F1097">
        <f t="shared" si="139"/>
        <v>14.980066167652014</v>
      </c>
      <c r="G1097">
        <f t="shared" si="140"/>
        <v>2.7949433599601372</v>
      </c>
      <c r="H1097" s="94">
        <f t="shared" si="146"/>
        <v>2.3888835390880989E-3</v>
      </c>
      <c r="I1097" t="e">
        <f t="shared" si="141"/>
        <v>#DIV/0!</v>
      </c>
      <c r="J1097">
        <f t="shared" si="142"/>
        <v>42.606957614028559</v>
      </c>
      <c r="K1097" s="94">
        <f t="shared" si="147"/>
        <v>0.31382657123649832</v>
      </c>
      <c r="L1097">
        <f t="shared" si="143"/>
        <v>0.46892076957780238</v>
      </c>
      <c r="M1097">
        <f t="shared" si="144"/>
        <v>1.6503634310427059E-118</v>
      </c>
    </row>
    <row r="1098" spans="4:13" x14ac:dyDescent="0.25">
      <c r="D1098">
        <v>64</v>
      </c>
      <c r="E1098" s="94">
        <f t="shared" si="145"/>
        <v>2.0503453189412097E-3</v>
      </c>
      <c r="F1098">
        <f t="shared" si="139"/>
        <v>14.568860834031184</v>
      </c>
      <c r="G1098">
        <f t="shared" si="140"/>
        <v>2.6423365575774325</v>
      </c>
      <c r="H1098" s="94">
        <f t="shared" si="146"/>
        <v>2.4273774695479922E-3</v>
      </c>
      <c r="I1098" t="e">
        <f t="shared" si="141"/>
        <v>#DIV/0!</v>
      </c>
      <c r="J1098">
        <f t="shared" si="142"/>
        <v>40.875676597375467</v>
      </c>
      <c r="K1098" s="94">
        <f t="shared" si="147"/>
        <v>0.31888814459032117</v>
      </c>
      <c r="L1098">
        <f t="shared" si="143"/>
        <v>0.45355929472454942</v>
      </c>
      <c r="M1098">
        <f t="shared" si="144"/>
        <v>1.9528485154080488E-120</v>
      </c>
    </row>
    <row r="1099" spans="4:13" x14ac:dyDescent="0.25">
      <c r="D1099">
        <v>65</v>
      </c>
      <c r="E1099" s="94">
        <f t="shared" si="145"/>
        <v>2.0828904827339275E-3</v>
      </c>
      <c r="F1099">
        <f t="shared" si="139"/>
        <v>14.172278650277043</v>
      </c>
      <c r="G1099">
        <f t="shared" si="140"/>
        <v>2.4986503105860365</v>
      </c>
      <c r="H1099" s="94">
        <f t="shared" si="146"/>
        <v>2.4658714000078854E-3</v>
      </c>
      <c r="I1099" t="e">
        <f t="shared" si="141"/>
        <v>#DIV/0!</v>
      </c>
      <c r="J1099">
        <f t="shared" si="142"/>
        <v>39.219675908344406</v>
      </c>
      <c r="K1099" s="94">
        <f t="shared" si="147"/>
        <v>0.32394971794414401</v>
      </c>
      <c r="L1099">
        <f t="shared" si="143"/>
        <v>0.43875632294004957</v>
      </c>
      <c r="M1099">
        <f t="shared" si="144"/>
        <v>2.3110653941165262E-122</v>
      </c>
    </row>
    <row r="1100" spans="4:13" x14ac:dyDescent="0.25">
      <c r="D1100">
        <v>66</v>
      </c>
      <c r="E1100" s="94">
        <f t="shared" si="145"/>
        <v>2.1154356465266453E-3</v>
      </c>
      <c r="F1100">
        <f t="shared" ref="F1100:F1134" si="148">GAMMADIST(E1100,$B$1040,1/$B$1041,0)</f>
        <v>13.789636727738454</v>
      </c>
      <c r="G1100">
        <f t="shared" ref="G1100:G1134" si="149">GAMMADIST(E1100,$B$1042,1/$B$1043,0)</f>
        <v>2.3633164719568014</v>
      </c>
      <c r="H1100" s="94">
        <f t="shared" si="146"/>
        <v>2.5043653304677787E-3</v>
      </c>
      <c r="I1100" t="e">
        <f t="shared" ref="I1100:I1134" si="150">GAMMADIST(H1100,$B$1048,1/$B$1049,0)</f>
        <v>#DIV/0!</v>
      </c>
      <c r="J1100">
        <f t="shared" ref="J1100:J1134" si="151">GAMMADIST(H1100,$B$1050,1/$B$1051,0)</f>
        <v>37.635350975290571</v>
      </c>
      <c r="K1100" s="94">
        <f t="shared" si="147"/>
        <v>0.32901129129796686</v>
      </c>
      <c r="L1100">
        <f t="shared" ref="L1100:L1134" si="152">GAMMADIST(K1100,$B$1056,1/$B$1057,0)</f>
        <v>0.42448829856780962</v>
      </c>
      <c r="M1100">
        <f t="shared" ref="M1100:M1134" si="153">GAMMADIST(K1100,$B$1058,1/$B$1059,0)</f>
        <v>2.7353249764061582E-124</v>
      </c>
    </row>
    <row r="1101" spans="4:13" x14ac:dyDescent="0.25">
      <c r="D1101">
        <v>67</v>
      </c>
      <c r="E1101" s="94">
        <f t="shared" ref="E1101:E1133" si="154">E1100+$B$1044</f>
        <v>2.1479808103193631E-3</v>
      </c>
      <c r="F1101">
        <f t="shared" si="148"/>
        <v>13.420293008694959</v>
      </c>
      <c r="G1101">
        <f t="shared" si="149"/>
        <v>2.2358070107391246</v>
      </c>
      <c r="H1101" s="94">
        <f t="shared" ref="H1101:H1134" si="155">H1100+$B$1052</f>
        <v>2.542859260927672E-3</v>
      </c>
      <c r="I1101" t="e">
        <f t="shared" si="150"/>
        <v>#DIV/0!</v>
      </c>
      <c r="J1101">
        <f t="shared" si="151"/>
        <v>36.119293725061191</v>
      </c>
      <c r="K1101" s="94">
        <f t="shared" ref="K1101:K1134" si="156">K1100+$B$1060</f>
        <v>0.3340728646517897</v>
      </c>
      <c r="L1101">
        <f t="shared" si="152"/>
        <v>0.41073286722614555</v>
      </c>
      <c r="M1101">
        <f t="shared" si="153"/>
        <v>3.2378522469927416E-126</v>
      </c>
    </row>
    <row r="1102" spans="4:13" x14ac:dyDescent="0.25">
      <c r="D1102">
        <v>68</v>
      </c>
      <c r="E1102" s="94">
        <f t="shared" si="154"/>
        <v>2.1805259741120809E-3</v>
      </c>
      <c r="F1102">
        <f t="shared" si="148"/>
        <v>13.063643264693852</v>
      </c>
      <c r="G1102">
        <f t="shared" si="149"/>
        <v>2.1156308294386825</v>
      </c>
      <c r="H1102" s="94">
        <f t="shared" si="155"/>
        <v>2.5813531913875653E-3</v>
      </c>
      <c r="I1102" t="e">
        <f t="shared" si="150"/>
        <v>#DIV/0!</v>
      </c>
      <c r="J1102">
        <f t="shared" si="151"/>
        <v>34.668280031929868</v>
      </c>
      <c r="K1102" s="94">
        <f t="shared" si="156"/>
        <v>0.33913443800561255</v>
      </c>
      <c r="L1102">
        <f t="shared" si="152"/>
        <v>0.39746880030306858</v>
      </c>
      <c r="M1102">
        <f t="shared" si="153"/>
        <v>3.8331425946466367E-128</v>
      </c>
    </row>
    <row r="1103" spans="4:13" x14ac:dyDescent="0.25">
      <c r="D1103">
        <v>69</v>
      </c>
      <c r="E1103" s="94">
        <f t="shared" si="154"/>
        <v>2.2130711379047987E-3</v>
      </c>
      <c r="F1103">
        <f t="shared" si="148"/>
        <v>12.719118356405316</v>
      </c>
      <c r="G1103">
        <f t="shared" si="149"/>
        <v>2.0023308668446083</v>
      </c>
      <c r="H1103" s="94">
        <f t="shared" si="155"/>
        <v>2.6198471218474586E-3</v>
      </c>
      <c r="I1103" t="e">
        <f t="shared" si="150"/>
        <v>#DIV/0!</v>
      </c>
      <c r="J1103">
        <f t="shared" si="151"/>
        <v>33.279258117698419</v>
      </c>
      <c r="K1103" s="94">
        <f t="shared" si="156"/>
        <v>0.34419601135943539</v>
      </c>
      <c r="L1103">
        <f t="shared" si="152"/>
        <v>0.38467592523828015</v>
      </c>
      <c r="M1103">
        <f t="shared" si="153"/>
        <v>4.5383846359710004E-130</v>
      </c>
    </row>
    <row r="1104" spans="4:13" x14ac:dyDescent="0.25">
      <c r="D1104">
        <v>70</v>
      </c>
      <c r="E1104" s="94">
        <f t="shared" si="154"/>
        <v>2.2456163016975166E-3</v>
      </c>
      <c r="F1104">
        <f t="shared" si="148"/>
        <v>12.386181728742274</v>
      </c>
      <c r="G1104">
        <f t="shared" si="149"/>
        <v>1.8954814574164904</v>
      </c>
      <c r="H1104" s="94">
        <f t="shared" si="155"/>
        <v>2.6583410523073519E-3</v>
      </c>
      <c r="I1104" t="e">
        <f t="shared" si="150"/>
        <v>#DIV/0!</v>
      </c>
      <c r="J1104">
        <f t="shared" si="151"/>
        <v>31.949337818057231</v>
      </c>
      <c r="K1104" s="94">
        <f t="shared" si="156"/>
        <v>0.34925758471325824</v>
      </c>
      <c r="L1104">
        <f t="shared" si="152"/>
        <v>0.37233506106622133</v>
      </c>
      <c r="M1104">
        <f t="shared" si="153"/>
        <v>5.3739619690958579E-132</v>
      </c>
    </row>
    <row r="1105" spans="4:13" x14ac:dyDescent="0.25">
      <c r="D1105">
        <v>71</v>
      </c>
      <c r="E1105" s="94">
        <f t="shared" si="154"/>
        <v>2.2781614654902344E-3</v>
      </c>
      <c r="F1105">
        <f t="shared" si="148"/>
        <v>12.064327117965396</v>
      </c>
      <c r="G1105">
        <f t="shared" si="149"/>
        <v>1.794685921615371</v>
      </c>
      <c r="H1105" s="94">
        <f t="shared" si="155"/>
        <v>2.6968349827672451E-3</v>
      </c>
      <c r="I1105" t="e">
        <f t="shared" si="150"/>
        <v>#DIV/0!</v>
      </c>
      <c r="J1105">
        <f t="shared" si="151"/>
        <v>30.675780639053887</v>
      </c>
      <c r="K1105" s="94">
        <f t="shared" si="156"/>
        <v>0.35431915806708109</v>
      </c>
      <c r="L1105">
        <f t="shared" si="152"/>
        <v>0.36042795874923256</v>
      </c>
      <c r="M1105">
        <f t="shared" si="153"/>
        <v>6.364048621569383E-134</v>
      </c>
    </row>
    <row r="1106" spans="4:13" x14ac:dyDescent="0.25">
      <c r="D1106">
        <v>72</v>
      </c>
      <c r="E1106" s="94">
        <f t="shared" si="154"/>
        <v>2.3107066292829522E-3</v>
      </c>
      <c r="F1106">
        <f t="shared" si="148"/>
        <v>11.753076450093332</v>
      </c>
      <c r="G1106">
        <f t="shared" si="149"/>
        <v>1.6995743644256722</v>
      </c>
      <c r="H1106" s="94">
        <f t="shared" si="155"/>
        <v>2.7353289132271384E-3</v>
      </c>
      <c r="I1106" t="e">
        <f t="shared" si="150"/>
        <v>#DIV/0!</v>
      </c>
      <c r="J1106">
        <f t="shared" si="151"/>
        <v>29.455990535254934</v>
      </c>
      <c r="K1106" s="94">
        <f t="shared" si="156"/>
        <v>0.35938073142090393</v>
      </c>
      <c r="L1106">
        <f t="shared" si="152"/>
        <v>0.34893724587847669</v>
      </c>
      <c r="M1106">
        <f t="shared" si="153"/>
        <v>7.5373157234034966E-136</v>
      </c>
    </row>
    <row r="1107" spans="4:13" x14ac:dyDescent="0.25">
      <c r="D1107">
        <v>73</v>
      </c>
      <c r="E1107" s="94">
        <f t="shared" si="154"/>
        <v>2.34325179307567E-3</v>
      </c>
      <c r="F1107">
        <f t="shared" si="148"/>
        <v>11.451977912215556</v>
      </c>
      <c r="G1107">
        <f t="shared" si="149"/>
        <v>1.6098016618232318</v>
      </c>
      <c r="H1107" s="94">
        <f t="shared" si="155"/>
        <v>2.7738228436870317E-3</v>
      </c>
      <c r="I1107" t="e">
        <f t="shared" si="150"/>
        <v>#DIV/0!</v>
      </c>
      <c r="J1107">
        <f t="shared" si="151"/>
        <v>28.287505348032948</v>
      </c>
      <c r="K1107" s="94">
        <f t="shared" si="156"/>
        <v>0.36444230477472678</v>
      </c>
      <c r="L1107">
        <f t="shared" si="152"/>
        <v>0.33784637536323403</v>
      </c>
      <c r="M1107">
        <f t="shared" si="153"/>
        <v>8.9277702222058904E-138</v>
      </c>
    </row>
    <row r="1108" spans="4:13" x14ac:dyDescent="0.25">
      <c r="D1108">
        <v>74</v>
      </c>
      <c r="E1108" s="94">
        <f t="shared" si="154"/>
        <v>2.3757969568683878E-3</v>
      </c>
      <c r="F1108">
        <f t="shared" si="148"/>
        <v>11.160604180303791</v>
      </c>
      <c r="G1108">
        <f t="shared" si="149"/>
        <v>1.5250456171464739</v>
      </c>
      <c r="H1108" s="94">
        <f t="shared" si="155"/>
        <v>2.812316774146925E-3</v>
      </c>
      <c r="I1108" t="e">
        <f t="shared" si="150"/>
        <v>#DIV/0!</v>
      </c>
      <c r="J1108">
        <f t="shared" si="151"/>
        <v>27.167988848481595</v>
      </c>
      <c r="K1108" s="94">
        <f t="shared" si="156"/>
        <v>0.36950387812854962</v>
      </c>
      <c r="L1108">
        <f t="shared" si="152"/>
        <v>0.32713957776720198</v>
      </c>
      <c r="M1108">
        <f t="shared" si="153"/>
        <v>1.0575750360156034E-139</v>
      </c>
    </row>
    <row r="1109" spans="4:13" x14ac:dyDescent="0.25">
      <c r="D1109">
        <v>75</v>
      </c>
      <c r="E1109" s="94">
        <f t="shared" si="154"/>
        <v>2.4083421206611056E-3</v>
      </c>
      <c r="F1109">
        <f t="shared" si="148"/>
        <v>10.878550788875545</v>
      </c>
      <c r="G1109">
        <f t="shared" si="149"/>
        <v>1.445005271264314</v>
      </c>
      <c r="H1109" s="94">
        <f t="shared" si="155"/>
        <v>2.8508107046068183E-3</v>
      </c>
      <c r="I1109" t="e">
        <f t="shared" si="150"/>
        <v>#DIV/0!</v>
      </c>
      <c r="J1109">
        <f t="shared" si="151"/>
        <v>26.095223334854662</v>
      </c>
      <c r="K1109" s="94">
        <f t="shared" si="156"/>
        <v>0.37456545148237247</v>
      </c>
      <c r="L1109">
        <f t="shared" si="152"/>
        <v>0.31680181698416171</v>
      </c>
      <c r="M1109">
        <f t="shared" si="153"/>
        <v>1.2529107268248442E-141</v>
      </c>
    </row>
    <row r="1110" spans="4:13" x14ac:dyDescent="0.25">
      <c r="D1110">
        <v>76</v>
      </c>
      <c r="E1110" s="94">
        <f t="shared" si="154"/>
        <v>2.4408872844538234E-3</v>
      </c>
      <c r="F1110">
        <f t="shared" si="148"/>
        <v>10.605434629411411</v>
      </c>
      <c r="G1110">
        <f t="shared" si="149"/>
        <v>1.3693993521406573</v>
      </c>
      <c r="H1110" s="94">
        <f t="shared" si="155"/>
        <v>2.8893046350667115E-3</v>
      </c>
      <c r="I1110" t="e">
        <f t="shared" si="150"/>
        <v>#DIV/0!</v>
      </c>
      <c r="J1110">
        <f t="shared" si="151"/>
        <v>25.067102739223767</v>
      </c>
      <c r="K1110" s="94">
        <f t="shared" si="156"/>
        <v>0.37962702483619531</v>
      </c>
      <c r="L1110">
        <f t="shared" si="152"/>
        <v>0.30681874897534422</v>
      </c>
      <c r="M1110">
        <f t="shared" si="153"/>
        <v>1.4844607539540647E-143</v>
      </c>
    </row>
    <row r="1111" spans="4:13" x14ac:dyDescent="0.25">
      <c r="D1111">
        <v>77</v>
      </c>
      <c r="E1111" s="94">
        <f t="shared" si="154"/>
        <v>2.4734324482465412E-3</v>
      </c>
      <c r="F1111">
        <f t="shared" si="148"/>
        <v>10.340892565794137</v>
      </c>
      <c r="G1111">
        <f t="shared" si="149"/>
        <v>1.2979648509014179</v>
      </c>
      <c r="H1111" s="94">
        <f t="shared" si="155"/>
        <v>2.9277985655266048E-3</v>
      </c>
      <c r="I1111" t="e">
        <f t="shared" si="150"/>
        <v>#DIV/0!</v>
      </c>
      <c r="J1111">
        <f t="shared" si="151"/>
        <v>24.081626202328344</v>
      </c>
      <c r="K1111" s="94">
        <f t="shared" si="156"/>
        <v>0.38468859819001816</v>
      </c>
      <c r="L1111">
        <f t="shared" si="152"/>
        <v>0.29717668331749963</v>
      </c>
      <c r="M1111">
        <f t="shared" si="153"/>
        <v>1.7589598183797198E-145</v>
      </c>
    </row>
    <row r="1112" spans="4:13" x14ac:dyDescent="0.25">
      <c r="D1112">
        <v>78</v>
      </c>
      <c r="E1112" s="94">
        <f t="shared" si="154"/>
        <v>2.5059776120392591E-3</v>
      </c>
      <c r="F1112">
        <f t="shared" si="148"/>
        <v>10.084580156245339</v>
      </c>
      <c r="G1112">
        <f t="shared" si="149"/>
        <v>1.2304557128415763</v>
      </c>
      <c r="H1112" s="94">
        <f t="shared" si="155"/>
        <v>2.9662924959864981E-3</v>
      </c>
      <c r="I1112" t="e">
        <f t="shared" si="150"/>
        <v>#DIV/0!</v>
      </c>
      <c r="J1112">
        <f t="shared" si="151"/>
        <v>23.13689207941086</v>
      </c>
      <c r="K1112" s="94">
        <f t="shared" si="156"/>
        <v>0.38975017154384101</v>
      </c>
      <c r="L1112">
        <f t="shared" si="152"/>
        <v>0.28786254733445832</v>
      </c>
      <c r="M1112">
        <f t="shared" si="153"/>
        <v>2.084398313550421E-147</v>
      </c>
    </row>
    <row r="1113" spans="4:13" x14ac:dyDescent="0.25">
      <c r="D1113">
        <v>79</v>
      </c>
      <c r="E1113" s="94">
        <f t="shared" si="154"/>
        <v>2.5385227758319769E-3</v>
      </c>
      <c r="F1113">
        <f t="shared" si="148"/>
        <v>9.8361704723052572</v>
      </c>
      <c r="G1113">
        <f t="shared" si="149"/>
        <v>1.1666416329891027</v>
      </c>
      <c r="H1113" s="94">
        <f t="shared" si="155"/>
        <v>3.0047864264463914E-3</v>
      </c>
      <c r="I1113" t="e">
        <f t="shared" si="150"/>
        <v>#DIV/0!</v>
      </c>
      <c r="J1113">
        <f t="shared" si="151"/>
        <v>22.231092343247756</v>
      </c>
      <c r="K1113" s="94">
        <f t="shared" si="156"/>
        <v>0.39481174489766385</v>
      </c>
      <c r="L1113">
        <f t="shared" si="152"/>
        <v>0.27886385260620339</v>
      </c>
      <c r="M1113">
        <f t="shared" si="153"/>
        <v>2.4702569716984134E-149</v>
      </c>
    </row>
    <row r="1114" spans="4:13" x14ac:dyDescent="0.25">
      <c r="D1114">
        <v>80</v>
      </c>
      <c r="E1114" s="94">
        <f t="shared" si="154"/>
        <v>2.5710679396246947E-3</v>
      </c>
      <c r="F1114">
        <f t="shared" si="148"/>
        <v>9.5953530063496988</v>
      </c>
      <c r="G1114">
        <f t="shared" si="149"/>
        <v>1.1063069468886964</v>
      </c>
      <c r="H1114" s="94">
        <f t="shared" si="155"/>
        <v>3.0432803569062847E-3</v>
      </c>
      <c r="I1114" t="e">
        <f t="shared" si="150"/>
        <v>#DIV/0!</v>
      </c>
      <c r="J1114">
        <f t="shared" si="151"/>
        <v>21.362507353646613</v>
      </c>
      <c r="K1114" s="94">
        <f t="shared" si="156"/>
        <v>0.3998733182514867</v>
      </c>
      <c r="L1114">
        <f t="shared" si="152"/>
        <v>0.27016866366847214</v>
      </c>
      <c r="M1114">
        <f t="shared" si="153"/>
        <v>2.927785442289803E-151</v>
      </c>
    </row>
    <row r="1115" spans="4:13" x14ac:dyDescent="0.25">
      <c r="D1115">
        <v>81</v>
      </c>
      <c r="E1115" s="94">
        <f t="shared" si="154"/>
        <v>2.6036131034174125E-3</v>
      </c>
      <c r="F1115">
        <f t="shared" si="148"/>
        <v>9.3618326599811148</v>
      </c>
      <c r="G1115">
        <f t="shared" si="149"/>
        <v>1.0492496081977447</v>
      </c>
      <c r="H1115" s="94">
        <f t="shared" si="155"/>
        <v>3.081774287366178E-3</v>
      </c>
      <c r="I1115" t="e">
        <f t="shared" si="150"/>
        <v>#DIV/0!</v>
      </c>
      <c r="J1115">
        <f t="shared" si="151"/>
        <v>20.529500965426969</v>
      </c>
      <c r="K1115" s="94">
        <f t="shared" si="156"/>
        <v>0.40493489160530954</v>
      </c>
      <c r="L1115">
        <f t="shared" si="152"/>
        <v>0.26176556873291401</v>
      </c>
      <c r="M1115">
        <f t="shared" si="153"/>
        <v>3.4703330418478708E-153</v>
      </c>
    </row>
    <row r="1116" spans="4:13" x14ac:dyDescent="0.25">
      <c r="D1116">
        <v>82</v>
      </c>
      <c r="E1116" s="94">
        <f t="shared" si="154"/>
        <v>2.6361582672101303E-3</v>
      </c>
      <c r="F1116">
        <f t="shared" si="148"/>
        <v>9.1353288063805866</v>
      </c>
      <c r="G1116">
        <f t="shared" si="149"/>
        <v>0.99528024551394323</v>
      </c>
      <c r="H1116" s="94">
        <f t="shared" si="155"/>
        <v>3.1202682178260712E-3</v>
      </c>
      <c r="I1116" t="e">
        <f t="shared" si="150"/>
        <v>#DIV/0!</v>
      </c>
      <c r="J1116">
        <f t="shared" si="151"/>
        <v>19.730515949369206</v>
      </c>
      <c r="K1116" s="94">
        <f t="shared" si="156"/>
        <v>0.40999646495913239</v>
      </c>
      <c r="L1116">
        <f t="shared" si="152"/>
        <v>0.25364365227309682</v>
      </c>
      <c r="M1116">
        <f t="shared" si="153"/>
        <v>4.1137414619244102E-155</v>
      </c>
    </row>
    <row r="1117" spans="4:13" x14ac:dyDescent="0.25">
      <c r="D1117">
        <v>83</v>
      </c>
      <c r="E1117" s="94">
        <f t="shared" si="154"/>
        <v>2.6687034310028481E-3</v>
      </c>
      <c r="F1117">
        <f t="shared" si="148"/>
        <v>8.9155744203758633</v>
      </c>
      <c r="G1117">
        <f t="shared" si="149"/>
        <v>0.94422129159103785</v>
      </c>
      <c r="H1117" s="94">
        <f t="shared" si="155"/>
        <v>3.1587621482859645E-3</v>
      </c>
      <c r="I1117" t="e">
        <f t="shared" si="150"/>
        <v>#DIV/0!</v>
      </c>
      <c r="J1117">
        <f t="shared" si="151"/>
        <v>18.964069702836852</v>
      </c>
      <c r="K1117" s="94">
        <f t="shared" si="156"/>
        <v>0.41505803831295524</v>
      </c>
      <c r="L1117">
        <f t="shared" si="152"/>
        <v>0.24579246933536716</v>
      </c>
      <c r="M1117">
        <f t="shared" si="153"/>
        <v>4.8768110605948118E-157</v>
      </c>
    </row>
    <row r="1118" spans="4:13" x14ac:dyDescent="0.25">
      <c r="D1118">
        <v>84</v>
      </c>
      <c r="E1118" s="94">
        <f t="shared" si="154"/>
        <v>2.7012485947955659E-3</v>
      </c>
      <c r="F1118">
        <f t="shared" si="148"/>
        <v>8.7023152705768414</v>
      </c>
      <c r="G1118">
        <f t="shared" si="149"/>
        <v>0.89590617875688894</v>
      </c>
      <c r="H1118" s="94">
        <f t="shared" si="155"/>
        <v>3.1972560787458578E-3</v>
      </c>
      <c r="I1118" t="e">
        <f t="shared" si="150"/>
        <v>#DIV/0!</v>
      </c>
      <c r="J1118">
        <f t="shared" si="151"/>
        <v>18.228750228778583</v>
      </c>
      <c r="K1118" s="94">
        <f t="shared" si="156"/>
        <v>0.42011961166677808</v>
      </c>
      <c r="L1118">
        <f t="shared" si="152"/>
        <v>0.2382020214459038</v>
      </c>
      <c r="M1118">
        <f t="shared" si="153"/>
        <v>5.7818545473270971E-159</v>
      </c>
    </row>
    <row r="1119" spans="4:13" x14ac:dyDescent="0.25">
      <c r="D1119">
        <v>85</v>
      </c>
      <c r="E1119" s="94">
        <f t="shared" si="154"/>
        <v>2.7337937585882838E-3</v>
      </c>
      <c r="F1119">
        <f t="shared" si="148"/>
        <v>8.495309168462942</v>
      </c>
      <c r="G1119">
        <f t="shared" si="149"/>
        <v>0.85017859493588688</v>
      </c>
      <c r="H1119" s="94">
        <f t="shared" si="155"/>
        <v>3.2357500092057511E-3</v>
      </c>
      <c r="I1119" t="e">
        <f t="shared" si="150"/>
        <v>#DIV/0!</v>
      </c>
      <c r="J1119">
        <f t="shared" si="151"/>
        <v>17.523212363622264</v>
      </c>
      <c r="K1119" s="94">
        <f t="shared" si="156"/>
        <v>0.42518118502060093</v>
      </c>
      <c r="L1119">
        <f t="shared" si="152"/>
        <v>0.23086273399642282</v>
      </c>
      <c r="M1119">
        <f t="shared" si="153"/>
        <v>6.8553544665465976E-161</v>
      </c>
    </row>
    <row r="1120" spans="4:13" x14ac:dyDescent="0.25">
      <c r="D1120">
        <v>86</v>
      </c>
      <c r="E1120" s="94">
        <f t="shared" si="154"/>
        <v>2.7663389223810016E-3</v>
      </c>
      <c r="F1120">
        <f t="shared" si="148"/>
        <v>8.2943252697837799</v>
      </c>
      <c r="G1120">
        <f t="shared" si="149"/>
        <v>0.80689179520380161</v>
      </c>
      <c r="H1120" s="94">
        <f t="shared" si="155"/>
        <v>3.2742439396656444E-3</v>
      </c>
      <c r="I1120" t="e">
        <f t="shared" si="150"/>
        <v>#DIV/0!</v>
      </c>
      <c r="J1120">
        <f t="shared" si="151"/>
        <v>16.846174236204977</v>
      </c>
      <c r="K1120" s="94">
        <f t="shared" si="156"/>
        <v>0.43024275837442377</v>
      </c>
      <c r="L1120">
        <f t="shared" si="152"/>
        <v>0.22376543500101717</v>
      </c>
      <c r="M1120">
        <f t="shared" si="153"/>
        <v>8.1287439691173304E-163</v>
      </c>
    </row>
    <row r="1121" spans="4:13" x14ac:dyDescent="0.25">
      <c r="D1121">
        <v>87</v>
      </c>
      <c r="E1121" s="94">
        <f t="shared" si="154"/>
        <v>2.7988840861737194E-3</v>
      </c>
      <c r="F1121">
        <f t="shared" si="148"/>
        <v>8.0991434240620226</v>
      </c>
      <c r="G1121">
        <f t="shared" si="149"/>
        <v>0.76590796427455921</v>
      </c>
      <c r="H1121" s="94">
        <f t="shared" si="155"/>
        <v>3.3127378701255377E-3</v>
      </c>
      <c r="I1121" t="e">
        <f t="shared" si="150"/>
        <v>#DIV/0!</v>
      </c>
      <c r="J1121">
        <f t="shared" si="151"/>
        <v>16.196413941359978</v>
      </c>
      <c r="K1121" s="94">
        <f t="shared" si="156"/>
        <v>0.43530433172824662</v>
      </c>
      <c r="L1121">
        <f t="shared" si="152"/>
        <v>0.21690133512567467</v>
      </c>
      <c r="M1121">
        <f t="shared" si="153"/>
        <v>9.6393340253237268E-165</v>
      </c>
    </row>
    <row r="1122" spans="4:13" x14ac:dyDescent="0.25">
      <c r="D1122">
        <v>88</v>
      </c>
      <c r="E1122" s="94">
        <f t="shared" si="154"/>
        <v>2.8314292499664372E-3</v>
      </c>
      <c r="F1122">
        <f t="shared" si="148"/>
        <v>7.9095535683709386</v>
      </c>
      <c r="G1122">
        <f t="shared" si="149"/>
        <v>0.72709762574143399</v>
      </c>
      <c r="H1122" s="94">
        <f t="shared" si="155"/>
        <v>3.3512318005854309E-3</v>
      </c>
      <c r="I1122" t="e">
        <f t="shared" si="150"/>
        <v>#DIV/0!</v>
      </c>
      <c r="J1122">
        <f t="shared" si="151"/>
        <v>15.57276641311916</v>
      </c>
      <c r="K1122" s="94">
        <f t="shared" si="156"/>
        <v>0.44036590508206946</v>
      </c>
      <c r="L1122">
        <f t="shared" si="152"/>
        <v>0.21026200890020874</v>
      </c>
      <c r="M1122">
        <f t="shared" si="153"/>
        <v>1.1431414587089258E-166</v>
      </c>
    </row>
    <row r="1123" spans="4:13" x14ac:dyDescent="0.25">
      <c r="D1123">
        <v>89</v>
      </c>
      <c r="E1123" s="94">
        <f t="shared" si="154"/>
        <v>2.863974413759155E-3</v>
      </c>
      <c r="F1123">
        <f t="shared" si="148"/>
        <v>7.7253551619038845</v>
      </c>
      <c r="G1123">
        <f t="shared" si="149"/>
        <v>0.69033909427516682</v>
      </c>
      <c r="H1123" s="94">
        <f t="shared" si="155"/>
        <v>3.3897257310453242E-3</v>
      </c>
      <c r="I1123" t="e">
        <f t="shared" si="150"/>
        <v>#DIV/0!</v>
      </c>
      <c r="J1123">
        <f t="shared" si="151"/>
        <v>14.974120483703503</v>
      </c>
      <c r="K1123" s="94">
        <f t="shared" si="156"/>
        <v>0.44542747843589231</v>
      </c>
      <c r="L1123">
        <f t="shared" si="152"/>
        <v>0.20383937702976163</v>
      </c>
      <c r="M1123">
        <f t="shared" si="153"/>
        <v>1.3557562381189363E-168</v>
      </c>
    </row>
    <row r="1124" spans="4:13" x14ac:dyDescent="0.25">
      <c r="D1124">
        <v>90</v>
      </c>
      <c r="E1124" s="94">
        <f t="shared" si="154"/>
        <v>2.8965195775518728E-3</v>
      </c>
      <c r="F1124">
        <f t="shared" si="148"/>
        <v>7.5463566581629671</v>
      </c>
      <c r="G1124">
        <f t="shared" si="149"/>
        <v>0.65551796732336987</v>
      </c>
      <c r="H1124" s="94">
        <f t="shared" si="155"/>
        <v>3.4282196615052175E-3</v>
      </c>
      <c r="I1124" t="e">
        <f t="shared" si="150"/>
        <v>#DIV/0!</v>
      </c>
      <c r="J1124">
        <f t="shared" si="151"/>
        <v>14.399416115576253</v>
      </c>
      <c r="K1124" s="94">
        <f t="shared" si="156"/>
        <v>0.45048905178971516</v>
      </c>
      <c r="L1124">
        <f t="shared" si="152"/>
        <v>0.19762568972976313</v>
      </c>
      <c r="M1124">
        <f t="shared" si="153"/>
        <v>1.608019416356531E-170</v>
      </c>
    </row>
    <row r="1125" spans="4:13" x14ac:dyDescent="0.25">
      <c r="D1125">
        <v>91</v>
      </c>
      <c r="E1125" s="94">
        <f t="shared" si="154"/>
        <v>2.9290647413445906E-3</v>
      </c>
      <c r="F1125">
        <f t="shared" si="148"/>
        <v>7.3723750118736406</v>
      </c>
      <c r="G1125">
        <f t="shared" si="149"/>
        <v>0.62252665316345834</v>
      </c>
      <c r="H1125" s="94">
        <f t="shared" si="155"/>
        <v>3.4667135919651108E-3</v>
      </c>
      <c r="I1125" t="e">
        <f t="shared" si="150"/>
        <v>#DIV/0!</v>
      </c>
      <c r="J1125">
        <f t="shared" si="151"/>
        <v>13.847641794836312</v>
      </c>
      <c r="K1125" s="94">
        <f t="shared" si="156"/>
        <v>0.455550625143538</v>
      </c>
      <c r="L1125">
        <f t="shared" si="152"/>
        <v>0.19161351101434185</v>
      </c>
      <c r="M1125">
        <f t="shared" si="153"/>
        <v>1.9073411571248465E-172</v>
      </c>
    </row>
    <row r="1126" spans="4:13" x14ac:dyDescent="0.25">
      <c r="D1126">
        <v>92</v>
      </c>
      <c r="E1126" s="94">
        <f t="shared" si="154"/>
        <v>2.9616099051373085E-3</v>
      </c>
      <c r="F1126">
        <f t="shared" si="148"/>
        <v>7.2032352179838304</v>
      </c>
      <c r="G1126">
        <f t="shared" si="149"/>
        <v>0.59126393243894859</v>
      </c>
      <c r="H1126" s="94">
        <f t="shared" si="155"/>
        <v>3.5052075224250041E-3</v>
      </c>
      <c r="I1126" t="e">
        <f t="shared" si="150"/>
        <v>#DIV/0!</v>
      </c>
      <c r="J1126">
        <f t="shared" si="151"/>
        <v>13.317832075141895</v>
      </c>
      <c r="K1126" s="94">
        <f t="shared" si="156"/>
        <v>0.46061219849736085</v>
      </c>
      <c r="L1126">
        <f t="shared" si="152"/>
        <v>0.18579570387373506</v>
      </c>
      <c r="M1126">
        <f t="shared" si="153"/>
        <v>2.2625192391247187E-174</v>
      </c>
    </row>
    <row r="1127" spans="4:13" x14ac:dyDescent="0.25">
      <c r="D1127">
        <v>93</v>
      </c>
      <c r="E1127" s="94">
        <f t="shared" si="154"/>
        <v>2.9941550689300263E-3</v>
      </c>
      <c r="F1127">
        <f t="shared" si="148"/>
        <v>7.0387698803337662</v>
      </c>
      <c r="G1127">
        <f t="shared" si="149"/>
        <v>0.56163455055956735</v>
      </c>
      <c r="H1127" s="94">
        <f t="shared" si="155"/>
        <v>3.5437014528848973E-3</v>
      </c>
      <c r="I1127" t="e">
        <f t="shared" si="150"/>
        <v>#DIV/0!</v>
      </c>
      <c r="J1127">
        <f t="shared" si="151"/>
        <v>12.809065262186779</v>
      </c>
      <c r="K1127" s="94">
        <f t="shared" si="156"/>
        <v>0.46567377185118369</v>
      </c>
      <c r="L1127">
        <f t="shared" si="152"/>
        <v>0.18016541628129784</v>
      </c>
      <c r="M1127">
        <f t="shared" si="153"/>
        <v>2.6839993384483537E-176</v>
      </c>
    </row>
    <row r="1128" spans="4:13" x14ac:dyDescent="0.25">
      <c r="D1128">
        <v>94</v>
      </c>
      <c r="E1128" s="94">
        <f t="shared" si="154"/>
        <v>3.0267002327227441E-3</v>
      </c>
      <c r="F1128">
        <f t="shared" si="148"/>
        <v>6.8788188077882895</v>
      </c>
      <c r="G1128">
        <f t="shared" si="149"/>
        <v>0.53354883857208391</v>
      </c>
      <c r="H1128" s="94">
        <f t="shared" si="155"/>
        <v>3.5821953833447906E-3</v>
      </c>
      <c r="I1128" t="e">
        <f t="shared" si="150"/>
        <v>#DIV/0!</v>
      </c>
      <c r="J1128">
        <f t="shared" si="151"/>
        <v>12.320461229510464</v>
      </c>
      <c r="K1128" s="94">
        <f t="shared" si="156"/>
        <v>0.47073534520500654</v>
      </c>
      <c r="L1128">
        <f t="shared" si="152"/>
        <v>0.17471606797531414</v>
      </c>
      <c r="M1128">
        <f t="shared" si="153"/>
        <v>3.1841842066223266E-178</v>
      </c>
    </row>
    <row r="1129" spans="4:13" x14ac:dyDescent="0.25">
      <c r="D1129">
        <v>95</v>
      </c>
      <c r="E1129" s="94">
        <f t="shared" si="154"/>
        <v>3.0592453965154619E-3</v>
      </c>
      <c r="F1129">
        <f t="shared" si="148"/>
        <v>6.72322863580965</v>
      </c>
      <c r="G1129">
        <f t="shared" si="149"/>
        <v>0.50692236031367233</v>
      </c>
      <c r="H1129" s="94">
        <f t="shared" si="155"/>
        <v>3.6206893138046839E-3</v>
      </c>
      <c r="I1129" t="e">
        <f t="shared" si="150"/>
        <v>#DIV/0!</v>
      </c>
      <c r="J1129">
        <f t="shared" si="151"/>
        <v>11.851179357117319</v>
      </c>
      <c r="K1129" s="94">
        <f t="shared" si="156"/>
        <v>0.47579691855882938</v>
      </c>
      <c r="L1129">
        <f t="shared" si="152"/>
        <v>0.16944133796501179</v>
      </c>
      <c r="M1129">
        <f t="shared" si="153"/>
        <v>3.7778009419066162E-180</v>
      </c>
    </row>
    <row r="1130" spans="4:13" x14ac:dyDescent="0.25">
      <c r="D1130">
        <v>96</v>
      </c>
      <c r="E1130" s="94">
        <f t="shared" si="154"/>
        <v>3.0917905603081797E-3</v>
      </c>
      <c r="F1130">
        <f t="shared" si="148"/>
        <v>6.571852471617361</v>
      </c>
      <c r="G1130">
        <f t="shared" si="149"/>
        <v>0.48167558384517467</v>
      </c>
      <c r="H1130" s="94">
        <f t="shared" si="155"/>
        <v>3.6591832442645772E-3</v>
      </c>
      <c r="I1130" t="e">
        <f t="shared" si="150"/>
        <v>#DIV/0!</v>
      </c>
      <c r="J1130">
        <f t="shared" si="151"/>
        <v>11.400416585014192</v>
      </c>
      <c r="K1130" s="94">
        <f t="shared" si="156"/>
        <v>0.48085849191265223</v>
      </c>
      <c r="L1130">
        <f t="shared" si="152"/>
        <v>0.16433515271401264</v>
      </c>
      <c r="M1130">
        <f t="shared" si="153"/>
        <v>4.4823372836613656E-182</v>
      </c>
    </row>
    <row r="1131" spans="4:13" x14ac:dyDescent="0.25">
      <c r="D1131">
        <v>97</v>
      </c>
      <c r="E1131" s="94">
        <f t="shared" si="154"/>
        <v>3.1243357241008975E-3</v>
      </c>
      <c r="F1131">
        <f t="shared" si="148"/>
        <v>6.4245495612347137</v>
      </c>
      <c r="G1131">
        <f t="shared" si="149"/>
        <v>0.45773357532986164</v>
      </c>
      <c r="H1131" s="94">
        <f t="shared" si="155"/>
        <v>3.6976771747244705E-3</v>
      </c>
      <c r="I1131" t="e">
        <f t="shared" si="150"/>
        <v>#DIV/0!</v>
      </c>
      <c r="J1131">
        <f t="shared" si="151"/>
        <v>10.967405574356333</v>
      </c>
      <c r="K1131" s="94">
        <f t="shared" si="156"/>
        <v>0.48592006526647508</v>
      </c>
      <c r="L1131">
        <f t="shared" si="152"/>
        <v>0.15939167495795739</v>
      </c>
      <c r="M1131">
        <f t="shared" si="153"/>
        <v>5.3185599183882216E-184</v>
      </c>
    </row>
    <row r="1132" spans="4:13" x14ac:dyDescent="0.25">
      <c r="D1132">
        <v>98</v>
      </c>
      <c r="E1132" s="94">
        <f t="shared" si="154"/>
        <v>3.1568808878936153E-3</v>
      </c>
      <c r="F1132">
        <f t="shared" si="148"/>
        <v>6.2811849768604056</v>
      </c>
      <c r="G1132">
        <f t="shared" si="149"/>
        <v>0.43502571367598197</v>
      </c>
      <c r="H1132" s="94">
        <f t="shared" si="155"/>
        <v>3.7361711051843638E-3</v>
      </c>
      <c r="I1132" t="e">
        <f t="shared" si="150"/>
        <v>#DIV/0!</v>
      </c>
      <c r="J1132">
        <f t="shared" si="151"/>
        <v>10.55141296942409</v>
      </c>
      <c r="K1132" s="94">
        <f t="shared" si="156"/>
        <v>0.49098163862029792</v>
      </c>
      <c r="L1132">
        <f t="shared" si="152"/>
        <v>0.15460529311624244</v>
      </c>
      <c r="M1132">
        <f t="shared" si="153"/>
        <v>6.3111302330568609E-186</v>
      </c>
    </row>
    <row r="1133" spans="4:13" x14ac:dyDescent="0.25">
      <c r="D1133">
        <v>99</v>
      </c>
      <c r="E1133" s="94">
        <f t="shared" si="154"/>
        <v>3.1894260516863331E-3</v>
      </c>
      <c r="F1133">
        <f t="shared" si="148"/>
        <v>6.141629323130017</v>
      </c>
      <c r="G1133">
        <f t="shared" si="149"/>
        <v>0.41348542440007119</v>
      </c>
      <c r="H1133" s="94">
        <f t="shared" si="155"/>
        <v>3.774665035644257E-3</v>
      </c>
      <c r="I1133" t="e">
        <f t="shared" si="150"/>
        <v>#DIV/0!</v>
      </c>
      <c r="J1133">
        <f t="shared" si="151"/>
        <v>10.151737754140584</v>
      </c>
      <c r="K1133" s="94">
        <f t="shared" si="156"/>
        <v>0.49604321197412077</v>
      </c>
      <c r="L1133">
        <f t="shared" si="152"/>
        <v>0.14997061126074732</v>
      </c>
      <c r="M1133">
        <f t="shared" si="153"/>
        <v>7.4893358598242689E-188</v>
      </c>
    </row>
    <row r="1134" spans="4:13" x14ac:dyDescent="0.25">
      <c r="D1134">
        <v>100</v>
      </c>
      <c r="E1134" s="94">
        <f>E1133+$B$1044</f>
        <v>3.221971215479051E-3</v>
      </c>
      <c r="F1134">
        <f t="shared" si="148"/>
        <v>6.0057584609469101</v>
      </c>
      <c r="G1134">
        <f t="shared" si="149"/>
        <v>0.39304993129411919</v>
      </c>
      <c r="H1134" s="94">
        <f t="shared" si="155"/>
        <v>3.8131589661041503E-3</v>
      </c>
      <c r="I1134" t="e">
        <f t="shared" si="150"/>
        <v>#DIV/0!</v>
      </c>
      <c r="J1134">
        <f t="shared" si="151"/>
        <v>9.7677096972891633</v>
      </c>
      <c r="K1134" s="94">
        <f t="shared" si="156"/>
        <v>0.50110478532794356</v>
      </c>
      <c r="L1134">
        <f t="shared" si="152"/>
        <v>0.1454824396071156</v>
      </c>
      <c r="M1134">
        <f t="shared" si="153"/>
        <v>8.8879598133772979E-190</v>
      </c>
    </row>
    <row r="1137" spans="1:10" x14ac:dyDescent="0.25">
      <c r="E1137" s="111"/>
      <c r="F1137" s="111" t="s">
        <v>267</v>
      </c>
      <c r="G1137" s="111"/>
      <c r="H1137" s="112"/>
      <c r="I1137" s="112" t="s">
        <v>268</v>
      </c>
      <c r="J1137" s="112"/>
    </row>
    <row r="1138" spans="1:10" x14ac:dyDescent="0.25">
      <c r="A1138" s="6" t="s">
        <v>276</v>
      </c>
      <c r="B1138" s="6"/>
      <c r="C1138" s="6"/>
      <c r="D1138" s="6" t="s">
        <v>273</v>
      </c>
      <c r="E1138" s="9" t="s">
        <v>274</v>
      </c>
      <c r="F1138" s="9" t="s">
        <v>265</v>
      </c>
      <c r="G1138" s="9" t="s">
        <v>264</v>
      </c>
      <c r="H1138" s="109" t="s">
        <v>270</v>
      </c>
      <c r="I1138" s="109" t="s">
        <v>265</v>
      </c>
      <c r="J1138" s="109" t="s">
        <v>264</v>
      </c>
    </row>
    <row r="1139" spans="1:10" x14ac:dyDescent="0.25">
      <c r="B1139" s="50"/>
      <c r="D1139">
        <v>1</v>
      </c>
      <c r="E1139" s="94">
        <f>B1142</f>
        <v>6.619352724928611E-34</v>
      </c>
      <c r="F1139">
        <f>GAMMADIST(E1139,$B$1144,1/$B$1145,0)</f>
        <v>9.9541454788860253E+29</v>
      </c>
      <c r="G1139">
        <f>GAMMADIST(E1139,$B$1146,1/$B$1147,0)</f>
        <v>2.3608915904751361E-153</v>
      </c>
      <c r="H1139" s="50">
        <f>B1150</f>
        <v>2.795718839029392E-3</v>
      </c>
      <c r="I1139" t="e">
        <f>GAMMADIST(H1139,$B$1152,1/$B$1153,0)</f>
        <v>#DIV/0!</v>
      </c>
      <c r="J1139">
        <f>GAMMADIST(H1139,$B$1154,1/$B$1155,0)</f>
        <v>1.8140443039110699</v>
      </c>
    </row>
    <row r="1140" spans="1:10" x14ac:dyDescent="0.25">
      <c r="D1140">
        <v>2</v>
      </c>
      <c r="E1140" s="94">
        <f>E1139+$B$1148</f>
        <v>1.6842656689607707E-4</v>
      </c>
      <c r="F1140">
        <f t="shared" ref="F1140:F1203" si="157">GAMMADIST(E1140,$B$1144,1/$B$1145,0)</f>
        <v>316.94030096567144</v>
      </c>
      <c r="G1140">
        <f t="shared" ref="G1140:G1203" si="158">GAMMADIST(E1140,$B$1146,1/$B$1147,0)</f>
        <v>1.9083316693520633E-4</v>
      </c>
      <c r="H1140" s="94">
        <f>H1139+$B$1156</f>
        <v>3.1018452290026673E-3</v>
      </c>
      <c r="I1140" t="e">
        <f t="shared" ref="I1140:I1203" si="159">GAMMADIST(H1140,$B$1152,1/$B$1153,0)</f>
        <v>#DIV/0!</v>
      </c>
      <c r="J1140">
        <f t="shared" ref="J1140:J1203" si="160">GAMMADIST(H1140,$B$1154,1/$B$1155,0)</f>
        <v>2.7016758536590189</v>
      </c>
    </row>
    <row r="1141" spans="1:10" x14ac:dyDescent="0.25">
      <c r="A1141" s="107" t="s">
        <v>267</v>
      </c>
      <c r="B1141" s="108"/>
      <c r="D1141">
        <v>3</v>
      </c>
      <c r="E1141" s="94">
        <f t="shared" ref="E1141:E1204" si="161">E1140+$B$1148</f>
        <v>3.3685313379215414E-4</v>
      </c>
      <c r="F1141">
        <f t="shared" si="157"/>
        <v>155.17302703830669</v>
      </c>
      <c r="G1141">
        <f t="shared" si="158"/>
        <v>5.5937943156900583E-3</v>
      </c>
      <c r="H1141" s="94">
        <f t="shared" ref="H1141:H1204" si="162">H1140+$B$1156</f>
        <v>3.4079716189759426E-3</v>
      </c>
      <c r="I1141" t="e">
        <f t="shared" si="159"/>
        <v>#DIV/0!</v>
      </c>
      <c r="J1141">
        <f t="shared" si="160"/>
        <v>3.8314632297573392</v>
      </c>
    </row>
    <row r="1142" spans="1:10" x14ac:dyDescent="0.25">
      <c r="A1142" t="s">
        <v>28</v>
      </c>
      <c r="B1142" s="50">
        <f>MIN(GAMMAINV(0.01,B1144,1/B1145),GAMMAINV(0.01,B1146,1/B1147))</f>
        <v>6.619352724928611E-34</v>
      </c>
      <c r="D1142">
        <v>4</v>
      </c>
      <c r="E1142" s="94">
        <f t="shared" si="161"/>
        <v>5.0527970068823115E-4</v>
      </c>
      <c r="F1142">
        <f t="shared" si="157"/>
        <v>99.394309662030793</v>
      </c>
      <c r="G1142">
        <f t="shared" si="158"/>
        <v>3.8179763384093582E-2</v>
      </c>
      <c r="H1142" s="94">
        <f t="shared" si="162"/>
        <v>3.714098008949218E-3</v>
      </c>
      <c r="I1142" t="e">
        <f t="shared" si="159"/>
        <v>#DIV/0!</v>
      </c>
      <c r="J1142">
        <f t="shared" si="160"/>
        <v>5.2179968157736294</v>
      </c>
    </row>
    <row r="1143" spans="1:10" x14ac:dyDescent="0.25">
      <c r="A1143" t="s">
        <v>29</v>
      </c>
      <c r="B1143" s="50">
        <f>MAX(GAMMAINV(0.99,B1144,1/B1145),GAMMAINV(0.99,B1146,1/B1147))</f>
        <v>1.6674230122711631E-2</v>
      </c>
      <c r="D1143">
        <v>5</v>
      </c>
      <c r="E1143" s="94">
        <f t="shared" si="161"/>
        <v>6.7370626758430827E-4</v>
      </c>
      <c r="F1143">
        <f t="shared" si="157"/>
        <v>71.070421953467147</v>
      </c>
      <c r="G1143">
        <f t="shared" si="158"/>
        <v>0.14349174593535108</v>
      </c>
      <c r="H1143" s="94">
        <f t="shared" si="162"/>
        <v>4.0202243989224933E-3</v>
      </c>
      <c r="I1143" t="e">
        <f t="shared" si="159"/>
        <v>#DIV/0!</v>
      </c>
      <c r="J1143">
        <f t="shared" si="160"/>
        <v>6.8681643760646045</v>
      </c>
    </row>
    <row r="1144" spans="1:10" x14ac:dyDescent="0.25">
      <c r="A1144" t="s">
        <v>262</v>
      </c>
      <c r="B1144">
        <f>'Bayes-Exponential'!D5</f>
        <v>6.5890000000000004E-2</v>
      </c>
      <c r="D1144">
        <v>6</v>
      </c>
      <c r="E1144" s="94">
        <f t="shared" si="161"/>
        <v>8.4213283448038539E-4</v>
      </c>
      <c r="F1144">
        <f t="shared" si="157"/>
        <v>53.97568680193767</v>
      </c>
      <c r="G1144">
        <f t="shared" si="158"/>
        <v>0.38889304534591862</v>
      </c>
      <c r="H1144" s="94">
        <f t="shared" si="162"/>
        <v>4.3263507888957687E-3</v>
      </c>
      <c r="I1144" t="e">
        <f t="shared" si="159"/>
        <v>#DIV/0!</v>
      </c>
      <c r="J1144">
        <f t="shared" si="160"/>
        <v>8.7811228015821481</v>
      </c>
    </row>
    <row r="1145" spans="1:10" x14ac:dyDescent="0.25">
      <c r="A1145" t="s">
        <v>263</v>
      </c>
      <c r="B1145">
        <f>'Bayes-Exponential'!D6</f>
        <v>396</v>
      </c>
      <c r="D1145">
        <v>7</v>
      </c>
      <c r="E1145" s="94">
        <f t="shared" si="161"/>
        <v>1.0105594013764625E-3</v>
      </c>
      <c r="F1145">
        <f t="shared" si="157"/>
        <v>42.586120522528503</v>
      </c>
      <c r="G1145">
        <f t="shared" si="158"/>
        <v>0.85708017600074438</v>
      </c>
      <c r="H1145" s="94">
        <f t="shared" si="162"/>
        <v>4.632477178869044E-3</v>
      </c>
      <c r="I1145" t="e">
        <f t="shared" si="159"/>
        <v>#DIV/0!</v>
      </c>
      <c r="J1145">
        <f t="shared" si="160"/>
        <v>10.948636536317922</v>
      </c>
    </row>
    <row r="1146" spans="1:10" x14ac:dyDescent="0.25">
      <c r="A1146" t="s">
        <v>261</v>
      </c>
      <c r="B1146">
        <f>'Bayes-Exponential'!D14</f>
        <v>6.0658899999999996</v>
      </c>
      <c r="D1146">
        <v>8</v>
      </c>
      <c r="E1146" s="94">
        <f t="shared" si="161"/>
        <v>1.1789859682725396E-3</v>
      </c>
      <c r="F1146">
        <f t="shared" si="157"/>
        <v>34.495806945290553</v>
      </c>
      <c r="G1146">
        <f t="shared" si="158"/>
        <v>1.6376998648477645</v>
      </c>
      <c r="H1146" s="94">
        <f t="shared" si="162"/>
        <v>4.9386035688423193E-3</v>
      </c>
      <c r="I1146" t="e">
        <f t="shared" si="159"/>
        <v>#DIV/0!</v>
      </c>
      <c r="J1146">
        <f t="shared" si="160"/>
        <v>13.35569894346019</v>
      </c>
    </row>
    <row r="1147" spans="1:10" x14ac:dyDescent="0.25">
      <c r="A1147" t="s">
        <v>266</v>
      </c>
      <c r="B1147">
        <f>'Bayes-Exponential'!D15</f>
        <v>792</v>
      </c>
      <c r="D1147">
        <v>9</v>
      </c>
      <c r="E1147" s="94">
        <f t="shared" si="161"/>
        <v>1.3474125351686168E-3</v>
      </c>
      <c r="F1147">
        <f t="shared" si="157"/>
        <v>28.485860722760656</v>
      </c>
      <c r="G1147">
        <f t="shared" si="158"/>
        <v>2.8189211520292923</v>
      </c>
      <c r="H1147" s="94">
        <f t="shared" si="162"/>
        <v>5.2447299588155947E-3</v>
      </c>
      <c r="I1147" t="e">
        <f t="shared" si="159"/>
        <v>#DIV/0!</v>
      </c>
      <c r="J1147">
        <f t="shared" si="160"/>
        <v>15.981356778292604</v>
      </c>
    </row>
    <row r="1148" spans="1:10" x14ac:dyDescent="0.25">
      <c r="A1148" t="s">
        <v>199</v>
      </c>
      <c r="B1148" s="50">
        <f>(B1143-B1142)/99</f>
        <v>1.6842656689607707E-4</v>
      </c>
      <c r="D1148">
        <v>10</v>
      </c>
      <c r="E1148" s="94">
        <f t="shared" si="161"/>
        <v>1.5158391020646939E-3</v>
      </c>
      <c r="F1148">
        <f t="shared" si="157"/>
        <v>23.871579694858255</v>
      </c>
      <c r="G1148">
        <f t="shared" si="158"/>
        <v>4.4800593901485746</v>
      </c>
      <c r="H1148" s="94">
        <f t="shared" si="162"/>
        <v>5.55085634878887E-3</v>
      </c>
      <c r="I1148" t="e">
        <f t="shared" si="159"/>
        <v>#DIV/0!</v>
      </c>
      <c r="J1148">
        <f t="shared" si="160"/>
        <v>18.799665561354228</v>
      </c>
    </row>
    <row r="1149" spans="1:10" x14ac:dyDescent="0.25">
      <c r="A1149" s="107" t="s">
        <v>268</v>
      </c>
      <c r="B1149" s="108"/>
      <c r="D1149">
        <v>11</v>
      </c>
      <c r="E1149" s="94">
        <f t="shared" si="161"/>
        <v>1.684265668960771E-3</v>
      </c>
      <c r="F1149">
        <f t="shared" si="157"/>
        <v>20.238229908438754</v>
      </c>
      <c r="G1149">
        <f t="shared" si="158"/>
        <v>6.6858091625864535</v>
      </c>
      <c r="H1149" s="94">
        <f t="shared" si="162"/>
        <v>5.8569827387621454E-3</v>
      </c>
      <c r="I1149" t="e">
        <f t="shared" si="159"/>
        <v>#DIV/0!</v>
      </c>
      <c r="J1149">
        <f t="shared" si="160"/>
        <v>21.780713257316297</v>
      </c>
    </row>
    <row r="1150" spans="1:10" x14ac:dyDescent="0.25">
      <c r="A1150" t="s">
        <v>28</v>
      </c>
      <c r="B1150" s="50">
        <f>MIN(GAMMAINV(0.001,B1154,1/B1155))</f>
        <v>2.795718839029392E-3</v>
      </c>
      <c r="D1150">
        <v>12</v>
      </c>
      <c r="E1150" s="94">
        <f t="shared" si="161"/>
        <v>1.8526922358568481E-3</v>
      </c>
      <c r="F1150">
        <f t="shared" si="157"/>
        <v>17.319729286982849</v>
      </c>
      <c r="G1150">
        <f t="shared" si="158"/>
        <v>9.4822752290958885</v>
      </c>
      <c r="H1150" s="94">
        <f t="shared" si="162"/>
        <v>6.1631091287354207E-3</v>
      </c>
      <c r="I1150" t="e">
        <f t="shared" si="159"/>
        <v>#DIV/0!</v>
      </c>
      <c r="J1150">
        <f t="shared" si="160"/>
        <v>24.891660043957582</v>
      </c>
    </row>
    <row r="1151" spans="1:10" x14ac:dyDescent="0.25">
      <c r="A1151" t="s">
        <v>29</v>
      </c>
      <c r="B1151" s="50">
        <f>MAX(GAMMAINV(0.99,B1154,1/B1155))</f>
        <v>3.3102231446383669E-2</v>
      </c>
      <c r="D1151">
        <v>13</v>
      </c>
      <c r="E1151" s="94">
        <f t="shared" si="161"/>
        <v>2.021118802752925E-3</v>
      </c>
      <c r="F1151">
        <f t="shared" si="157"/>
        <v>14.937445110583466</v>
      </c>
      <c r="G1151">
        <f t="shared" si="158"/>
        <v>12.894753382942769</v>
      </c>
      <c r="H1151" s="94">
        <f t="shared" si="162"/>
        <v>6.4692355187086961E-3</v>
      </c>
      <c r="I1151" t="e">
        <f t="shared" si="159"/>
        <v>#DIV/0!</v>
      </c>
      <c r="J1151">
        <f t="shared" si="160"/>
        <v>28.097752272342703</v>
      </c>
    </row>
    <row r="1152" spans="1:10" x14ac:dyDescent="0.25">
      <c r="A1152" t="s">
        <v>262</v>
      </c>
      <c r="B1152">
        <f>'Bayes-Exponential'!D7</f>
        <v>0</v>
      </c>
      <c r="D1152">
        <v>14</v>
      </c>
      <c r="E1152" s="94">
        <f t="shared" si="161"/>
        <v>2.1895453696490022E-3</v>
      </c>
      <c r="F1152">
        <f t="shared" si="157"/>
        <v>12.966972410884722</v>
      </c>
      <c r="G1152">
        <f t="shared" si="158"/>
        <v>16.927071860750697</v>
      </c>
      <c r="H1152" s="94">
        <f t="shared" si="162"/>
        <v>6.7753619086819714E-3</v>
      </c>
      <c r="I1152" t="e">
        <f t="shared" si="159"/>
        <v>#DIV/0!</v>
      </c>
      <c r="J1152">
        <f t="shared" si="160"/>
        <v>31.363278435599739</v>
      </c>
    </row>
    <row r="1153" spans="1:10" x14ac:dyDescent="0.25">
      <c r="A1153" t="s">
        <v>263</v>
      </c>
      <c r="B1153">
        <f>'Bayes-Exponential'!D8</f>
        <v>0</v>
      </c>
      <c r="D1153">
        <v>15</v>
      </c>
      <c r="E1153" s="94">
        <f t="shared" si="161"/>
        <v>2.3579719365450793E-3</v>
      </c>
      <c r="F1153">
        <f t="shared" si="157"/>
        <v>11.319010106901141</v>
      </c>
      <c r="G1153">
        <f t="shared" si="158"/>
        <v>21.562231005424469</v>
      </c>
      <c r="H1153" s="94">
        <f t="shared" si="162"/>
        <v>7.0814882986552467E-3</v>
      </c>
      <c r="I1153" t="e">
        <f t="shared" si="159"/>
        <v>#DIV/0!</v>
      </c>
      <c r="J1153">
        <f t="shared" si="160"/>
        <v>34.652443755742802</v>
      </c>
    </row>
    <row r="1154" spans="1:10" x14ac:dyDescent="0.25">
      <c r="A1154" t="s">
        <v>261</v>
      </c>
      <c r="B1154">
        <f>'Bayes-Exponential'!F14</f>
        <v>6</v>
      </c>
      <c r="D1154">
        <v>16</v>
      </c>
      <c r="E1154" s="94">
        <f t="shared" si="161"/>
        <v>2.5263985034411564E-3</v>
      </c>
      <c r="F1154">
        <f t="shared" si="157"/>
        <v>9.9278086196568314</v>
      </c>
      <c r="G1154">
        <f t="shared" si="158"/>
        <v>26.764052870669065</v>
      </c>
      <c r="H1154" s="94">
        <f t="shared" si="162"/>
        <v>7.3876146886285221E-3</v>
      </c>
      <c r="I1154" t="e">
        <f t="shared" si="159"/>
        <v>#DIV/0!</v>
      </c>
      <c r="J1154">
        <f t="shared" si="160"/>
        <v>37.930147697137407</v>
      </c>
    </row>
    <row r="1155" spans="1:10" x14ac:dyDescent="0.25">
      <c r="A1155" t="s">
        <v>266</v>
      </c>
      <c r="B1155">
        <f>'Bayes-Exponential'!F15</f>
        <v>396</v>
      </c>
      <c r="D1155">
        <v>17</v>
      </c>
      <c r="E1155" s="94">
        <f t="shared" si="161"/>
        <v>2.6948250703372335E-3</v>
      </c>
      <c r="F1155">
        <f t="shared" si="157"/>
        <v>8.7439040049088153</v>
      </c>
      <c r="G1155">
        <f t="shared" si="158"/>
        <v>32.479557265824752</v>
      </c>
      <c r="H1155" s="94">
        <f t="shared" si="162"/>
        <v>7.6937410786017974E-3</v>
      </c>
      <c r="I1155" t="e">
        <f t="shared" si="159"/>
        <v>#DIV/0!</v>
      </c>
      <c r="J1155">
        <f t="shared" si="160"/>
        <v>41.162655262500934</v>
      </c>
    </row>
    <row r="1156" spans="1:10" x14ac:dyDescent="0.25">
      <c r="A1156" t="s">
        <v>199</v>
      </c>
      <c r="B1156" s="50">
        <f>(B1151-B1150)/99</f>
        <v>3.0612638997327556E-4</v>
      </c>
      <c r="D1156">
        <v>18</v>
      </c>
      <c r="E1156" s="94">
        <f t="shared" si="161"/>
        <v>2.8632516372333106E-3</v>
      </c>
      <c r="F1156">
        <f t="shared" si="157"/>
        <v>7.7293887654756075</v>
      </c>
      <c r="G1156">
        <f t="shared" si="158"/>
        <v>38.64180450346953</v>
      </c>
      <c r="H1156" s="94">
        <f t="shared" si="162"/>
        <v>7.9998674685750736E-3</v>
      </c>
      <c r="I1156" t="e">
        <f t="shared" si="159"/>
        <v>#DIV/0!</v>
      </c>
      <c r="J1156">
        <f t="shared" si="160"/>
        <v>44.318158338919105</v>
      </c>
    </row>
    <row r="1157" spans="1:10" x14ac:dyDescent="0.25">
      <c r="A1157" s="107"/>
      <c r="B1157" s="108"/>
      <c r="D1157">
        <v>19</v>
      </c>
      <c r="E1157" s="94">
        <f t="shared" si="161"/>
        <v>3.0316782041293878E-3</v>
      </c>
      <c r="F1157">
        <f t="shared" si="157"/>
        <v>6.85474161925461</v>
      </c>
      <c r="G1157">
        <f t="shared" si="158"/>
        <v>45.172979289830515</v>
      </c>
      <c r="H1157" s="94">
        <f t="shared" si="162"/>
        <v>8.3059938585483498E-3</v>
      </c>
      <c r="I1157" t="e">
        <f t="shared" si="159"/>
        <v>#DIV/0!</v>
      </c>
      <c r="J1157">
        <f t="shared" si="160"/>
        <v>47.367227702500294</v>
      </c>
    </row>
    <row r="1158" spans="1:10" x14ac:dyDescent="0.25">
      <c r="B1158" s="50"/>
      <c r="D1158">
        <v>20</v>
      </c>
      <c r="E1158" s="94">
        <f t="shared" si="161"/>
        <v>3.2001047710254649E-3</v>
      </c>
      <c r="F1158">
        <f t="shared" si="157"/>
        <v>6.0966471190373781</v>
      </c>
      <c r="G1158">
        <f t="shared" si="158"/>
        <v>51.987528815138091</v>
      </c>
      <c r="H1158" s="94">
        <f t="shared" si="162"/>
        <v>8.612120248521626E-3</v>
      </c>
      <c r="I1158" t="e">
        <f t="shared" si="159"/>
        <v>#DIV/0!</v>
      </c>
      <c r="J1158">
        <f t="shared" si="160"/>
        <v>50.283159656075171</v>
      </c>
    </row>
    <row r="1159" spans="1:10" x14ac:dyDescent="0.25">
      <c r="B1159" s="50"/>
      <c r="D1159">
        <v>21</v>
      </c>
      <c r="E1159" s="94">
        <f t="shared" si="161"/>
        <v>3.368531337921542E-3</v>
      </c>
      <c r="F1159">
        <f t="shared" si="157"/>
        <v>5.4364619244160686</v>
      </c>
      <c r="G1159">
        <f t="shared" si="158"/>
        <v>58.995207126543839</v>
      </c>
      <c r="H1159" s="94">
        <f t="shared" si="162"/>
        <v>8.9182466384949022E-3</v>
      </c>
      <c r="I1159" t="e">
        <f t="shared" si="159"/>
        <v>#DIV/0!</v>
      </c>
      <c r="J1159">
        <f t="shared" si="160"/>
        <v>53.042223775615398</v>
      </c>
    </row>
    <row r="1160" spans="1:10" x14ac:dyDescent="0.25">
      <c r="D1160">
        <v>22</v>
      </c>
      <c r="E1160" s="94">
        <f t="shared" si="161"/>
        <v>3.5369579048176191E-3</v>
      </c>
      <c r="F1160">
        <f t="shared" si="157"/>
        <v>4.8591142440613844</v>
      </c>
      <c r="G1160">
        <f t="shared" si="158"/>
        <v>66.103914715738</v>
      </c>
      <c r="H1160" s="94">
        <f t="shared" si="162"/>
        <v>9.2243730284681785E-3</v>
      </c>
      <c r="I1160" t="e">
        <f t="shared" si="159"/>
        <v>#DIV/0!</v>
      </c>
      <c r="J1160">
        <f t="shared" si="160"/>
        <v>55.623819994358144</v>
      </c>
    </row>
    <row r="1161" spans="1:10" x14ac:dyDescent="0.25">
      <c r="D1161">
        <v>23</v>
      </c>
      <c r="E1161" s="94">
        <f t="shared" si="161"/>
        <v>3.7053844717136963E-3</v>
      </c>
      <c r="F1161">
        <f t="shared" si="157"/>
        <v>4.3522999725666267</v>
      </c>
      <c r="G1161">
        <f t="shared" si="158"/>
        <v>73.222255399357593</v>
      </c>
      <c r="H1161" s="94">
        <f t="shared" si="162"/>
        <v>9.5304994184414547E-3</v>
      </c>
      <c r="I1161" t="e">
        <f t="shared" si="159"/>
        <v>#DIV/0!</v>
      </c>
      <c r="J1161">
        <f t="shared" si="160"/>
        <v>58.010554374309329</v>
      </c>
    </row>
    <row r="1162" spans="1:10" x14ac:dyDescent="0.25">
      <c r="D1162">
        <v>24</v>
      </c>
      <c r="E1162" s="94">
        <f t="shared" si="161"/>
        <v>3.8738110386097734E-3</v>
      </c>
      <c r="F1162">
        <f t="shared" si="157"/>
        <v>3.9058861254242125</v>
      </c>
      <c r="G1162">
        <f t="shared" si="158"/>
        <v>80.261761239762762</v>
      </c>
      <c r="H1162" s="94">
        <f t="shared" si="162"/>
        <v>9.8366258084147309E-3</v>
      </c>
      <c r="I1162" t="e">
        <f t="shared" si="159"/>
        <v>#DIV/0!</v>
      </c>
      <c r="J1162">
        <f t="shared" si="160"/>
        <v>60.188243512330416</v>
      </c>
    </row>
    <row r="1163" spans="1:10" x14ac:dyDescent="0.25">
      <c r="D1163">
        <v>25</v>
      </c>
      <c r="E1163" s="94">
        <f t="shared" si="161"/>
        <v>4.0422376055058501E-3</v>
      </c>
      <c r="F1163">
        <f t="shared" si="157"/>
        <v>3.5114617239447079</v>
      </c>
      <c r="G1163">
        <f t="shared" si="158"/>
        <v>87.138760197761428</v>
      </c>
      <c r="H1163" s="94">
        <f t="shared" si="162"/>
        <v>1.0142752198388007E-2</v>
      </c>
      <c r="I1163" t="e">
        <f t="shared" si="159"/>
        <v>#DIV/0!</v>
      </c>
      <c r="J1163">
        <f t="shared" si="160"/>
        <v>62.145857703143648</v>
      </c>
    </row>
    <row r="1164" spans="1:10" x14ac:dyDescent="0.25">
      <c r="B1164" s="50"/>
      <c r="D1164">
        <v>26</v>
      </c>
      <c r="E1164" s="94">
        <f t="shared" si="161"/>
        <v>4.2106641724019272E-3</v>
      </c>
      <c r="F1164">
        <f t="shared" si="157"/>
        <v>3.1619952689471589</v>
      </c>
      <c r="G1164">
        <f t="shared" si="158"/>
        <v>93.775880528255982</v>
      </c>
      <c r="H1164" s="94">
        <f t="shared" si="162"/>
        <v>1.0448878588361283E-2</v>
      </c>
      <c r="I1164" t="e">
        <f t="shared" si="159"/>
        <v>#DIV/0!</v>
      </c>
      <c r="J1164">
        <f t="shared" si="160"/>
        <v>63.875412824746242</v>
      </c>
    </row>
    <row r="1165" spans="1:10" x14ac:dyDescent="0.25">
      <c r="D1165">
        <v>27</v>
      </c>
      <c r="E1165" s="94">
        <f t="shared" si="161"/>
        <v>4.3790907392980043E-3</v>
      </c>
      <c r="F1165">
        <f t="shared" si="157"/>
        <v>2.8515704046767532</v>
      </c>
      <c r="G1165">
        <f t="shared" si="158"/>
        <v>100.10320094632813</v>
      </c>
      <c r="H1165" s="94">
        <f t="shared" si="162"/>
        <v>1.0755004978334559E-2</v>
      </c>
      <c r="I1165" t="e">
        <f t="shared" si="159"/>
        <v>#DIV/0!</v>
      </c>
      <c r="J1165">
        <f t="shared" si="160"/>
        <v>65.371820502381112</v>
      </c>
    </row>
    <row r="1166" spans="1:10" x14ac:dyDescent="0.25">
      <c r="D1166">
        <v>28</v>
      </c>
      <c r="E1166" s="94">
        <f t="shared" si="161"/>
        <v>4.5475173061940814E-3</v>
      </c>
      <c r="F1166">
        <f t="shared" si="157"/>
        <v>2.5751797137994763</v>
      </c>
      <c r="G1166">
        <f t="shared" si="158"/>
        <v>106.05906675353499</v>
      </c>
      <c r="H1166" s="94">
        <f t="shared" si="162"/>
        <v>1.1061131368307836E-2</v>
      </c>
      <c r="I1166" t="e">
        <f t="shared" si="159"/>
        <v>#DIV/0!</v>
      </c>
      <c r="J1166">
        <f t="shared" si="160"/>
        <v>66.632705513847696</v>
      </c>
    </row>
    <row r="1167" spans="1:10" x14ac:dyDescent="0.25">
      <c r="D1167">
        <v>29</v>
      </c>
      <c r="E1167" s="94">
        <f t="shared" si="161"/>
        <v>4.7159438730901585E-3</v>
      </c>
      <c r="F1167">
        <f t="shared" si="157"/>
        <v>2.3285622635708805</v>
      </c>
      <c r="G1167">
        <f t="shared" si="158"/>
        <v>111.59059993049004</v>
      </c>
      <c r="H1167" s="94">
        <f t="shared" si="162"/>
        <v>1.1367257758281112E-2</v>
      </c>
      <c r="I1167" t="e">
        <f t="shared" si="159"/>
        <v>#DIV/0!</v>
      </c>
      <c r="J1167">
        <f t="shared" si="160"/>
        <v>67.658198679513902</v>
      </c>
    </row>
    <row r="1168" spans="1:10" x14ac:dyDescent="0.25">
      <c r="D1168">
        <v>30</v>
      </c>
      <c r="E1168" s="94">
        <f t="shared" si="161"/>
        <v>4.8843704399862357E-3</v>
      </c>
      <c r="F1168">
        <f t="shared" si="157"/>
        <v>2.1080744536423981</v>
      </c>
      <c r="G1168">
        <f t="shared" si="158"/>
        <v>116.65393619385851</v>
      </c>
      <c r="H1168" s="94">
        <f t="shared" si="162"/>
        <v>1.1673384148254388E-2</v>
      </c>
      <c r="I1168" t="e">
        <f t="shared" si="159"/>
        <v>#DIV/0!</v>
      </c>
      <c r="J1168">
        <f t="shared" si="160"/>
        <v>68.450712683035647</v>
      </c>
    </row>
    <row r="1169" spans="4:10" x14ac:dyDescent="0.25">
      <c r="D1169">
        <v>31</v>
      </c>
      <c r="E1169" s="94">
        <f t="shared" si="161"/>
        <v>5.0527970068823128E-3</v>
      </c>
      <c r="F1169">
        <f t="shared" si="157"/>
        <v>1.9105864765148135</v>
      </c>
      <c r="G1169">
        <f t="shared" si="158"/>
        <v>121.21422468785515</v>
      </c>
      <c r="H1169" s="94">
        <f t="shared" si="162"/>
        <v>1.1979510538227664E-2</v>
      </c>
      <c r="I1169" t="e">
        <f t="shared" si="159"/>
        <v>#DIV/0!</v>
      </c>
      <c r="J1169">
        <f t="shared" si="160"/>
        <v>69.014707432722673</v>
      </c>
    </row>
    <row r="1170" spans="4:10" x14ac:dyDescent="0.25">
      <c r="D1170">
        <v>32</v>
      </c>
      <c r="E1170" s="94">
        <f t="shared" si="161"/>
        <v>5.2212235737783899E-3</v>
      </c>
      <c r="F1170">
        <f t="shared" si="157"/>
        <v>1.7333986671673156</v>
      </c>
      <c r="G1170">
        <f t="shared" si="158"/>
        <v>125.2454267994144</v>
      </c>
      <c r="H1170" s="94">
        <f t="shared" si="162"/>
        <v>1.2285636928200941E-2</v>
      </c>
      <c r="I1170" t="e">
        <f t="shared" si="159"/>
        <v>#DIV/0!</v>
      </c>
      <c r="J1170">
        <f t="shared" si="160"/>
        <v>69.35645072995483</v>
      </c>
    </row>
    <row r="1171" spans="4:10" x14ac:dyDescent="0.25">
      <c r="D1171">
        <v>33</v>
      </c>
      <c r="E1171" s="94">
        <f t="shared" si="161"/>
        <v>5.389650140674467E-3</v>
      </c>
      <c r="F1171">
        <f t="shared" si="157"/>
        <v>1.5741734356082053</v>
      </c>
      <c r="G1171">
        <f t="shared" si="158"/>
        <v>128.72994997172913</v>
      </c>
      <c r="H1171" s="94">
        <f t="shared" si="162"/>
        <v>1.2591763318174217E-2</v>
      </c>
      <c r="I1171" t="e">
        <f t="shared" si="159"/>
        <v>#DIV/0!</v>
      </c>
      <c r="J1171">
        <f t="shared" si="160"/>
        <v>69.483779184335575</v>
      </c>
    </row>
    <row r="1172" spans="4:10" x14ac:dyDescent="0.25">
      <c r="D1172">
        <v>34</v>
      </c>
      <c r="E1172" s="94">
        <f t="shared" si="161"/>
        <v>5.5580767075705442E-3</v>
      </c>
      <c r="F1172">
        <f t="shared" si="157"/>
        <v>1.4308795099926397</v>
      </c>
      <c r="G1172">
        <f t="shared" si="158"/>
        <v>131.65815070924168</v>
      </c>
      <c r="H1172" s="94">
        <f t="shared" si="162"/>
        <v>1.2897889708147493E-2</v>
      </c>
      <c r="I1172" t="e">
        <f t="shared" si="159"/>
        <v>#DIV/0!</v>
      </c>
      <c r="J1172">
        <f t="shared" si="160"/>
        <v>69.405863523643177</v>
      </c>
    </row>
    <row r="1173" spans="4:10" x14ac:dyDescent="0.25">
      <c r="D1173">
        <v>35</v>
      </c>
      <c r="E1173" s="94">
        <f t="shared" si="161"/>
        <v>5.7265032744666213E-3</v>
      </c>
      <c r="F1173">
        <f t="shared" si="157"/>
        <v>1.3017459804683598</v>
      </c>
      <c r="G1173">
        <f t="shared" si="158"/>
        <v>134.02773853113976</v>
      </c>
      <c r="H1173" s="94">
        <f t="shared" si="162"/>
        <v>1.3204016098120769E-2</v>
      </c>
      <c r="I1173" t="e">
        <f t="shared" si="159"/>
        <v>#DIV/0!</v>
      </c>
      <c r="J1173">
        <f t="shared" si="160"/>
        <v>69.132981703275831</v>
      </c>
    </row>
    <row r="1174" spans="4:10" x14ac:dyDescent="0.25">
      <c r="D1174">
        <v>36</v>
      </c>
      <c r="E1174" s="94">
        <f t="shared" si="161"/>
        <v>5.8949298413626984E-3</v>
      </c>
      <c r="F1174">
        <f t="shared" si="157"/>
        <v>1.1852242020175152</v>
      </c>
      <c r="G1174">
        <f t="shared" si="158"/>
        <v>135.8431097009553</v>
      </c>
      <c r="H1174" s="94">
        <f t="shared" si="162"/>
        <v>1.3510142488094045E-2</v>
      </c>
      <c r="I1174" t="e">
        <f t="shared" si="159"/>
        <v>#DIV/0!</v>
      </c>
      <c r="J1174">
        <f t="shared" si="160"/>
        <v>68.676302533699968</v>
      </c>
    </row>
    <row r="1175" spans="4:10" x14ac:dyDescent="0.25">
      <c r="D1175">
        <v>37</v>
      </c>
      <c r="E1175" s="94">
        <f t="shared" si="161"/>
        <v>6.0633564082587755E-3</v>
      </c>
      <c r="F1175">
        <f t="shared" si="157"/>
        <v>1.0799560418657277</v>
      </c>
      <c r="G1175">
        <f t="shared" si="158"/>
        <v>137.11463634992805</v>
      </c>
      <c r="H1175" s="94">
        <f t="shared" si="162"/>
        <v>1.3816268878067322E-2</v>
      </c>
      <c r="I1175" t="e">
        <f t="shared" si="159"/>
        <v>#DIV/0!</v>
      </c>
      <c r="J1175">
        <f t="shared" si="160"/>
        <v>68.047681920807292</v>
      </c>
    </row>
    <row r="1176" spans="4:10" x14ac:dyDescent="0.25">
      <c r="D1176">
        <v>38</v>
      </c>
      <c r="E1176" s="94">
        <f t="shared" si="161"/>
        <v>6.2317829751548526E-3</v>
      </c>
      <c r="F1176">
        <f t="shared" si="157"/>
        <v>0.98474728129907751</v>
      </c>
      <c r="G1176">
        <f t="shared" si="158"/>
        <v>137.85793329104808</v>
      </c>
      <c r="H1176" s="94">
        <f t="shared" si="162"/>
        <v>1.4122395268040598E-2</v>
      </c>
      <c r="I1176" t="e">
        <f t="shared" si="159"/>
        <v>#DIV/0!</v>
      </c>
      <c r="J1176">
        <f t="shared" si="160"/>
        <v>67.25947325564799</v>
      </c>
    </row>
    <row r="1177" spans="4:10" x14ac:dyDescent="0.25">
      <c r="D1177">
        <v>39</v>
      </c>
      <c r="E1177" s="94">
        <f t="shared" si="161"/>
        <v>6.4002095420509298E-3</v>
      </c>
      <c r="F1177">
        <f t="shared" si="157"/>
        <v>0.8985452298742006</v>
      </c>
      <c r="G1177">
        <f t="shared" si="158"/>
        <v>138.09312152062049</v>
      </c>
      <c r="H1177" s="94">
        <f t="shared" si="162"/>
        <v>1.4428521658013874E-2</v>
      </c>
      <c r="I1177" t="e">
        <f t="shared" si="159"/>
        <v>#DIV/0!</v>
      </c>
      <c r="J1177">
        <f t="shared" si="160"/>
        <v>66.32435299707177</v>
      </c>
    </row>
    <row r="1178" spans="4:10" x14ac:dyDescent="0.25">
      <c r="D1178">
        <v>40</v>
      </c>
      <c r="E1178" s="94">
        <f t="shared" si="161"/>
        <v>6.5686361089470069E-3</v>
      </c>
      <c r="F1178">
        <f t="shared" si="157"/>
        <v>0.82041980139535198</v>
      </c>
      <c r="G1178">
        <f t="shared" si="158"/>
        <v>137.84410422340437</v>
      </c>
      <c r="H1178" s="94">
        <f t="shared" si="162"/>
        <v>1.473464804798715E-2</v>
      </c>
      <c r="I1178" t="e">
        <f t="shared" si="159"/>
        <v>#DIV/0!</v>
      </c>
      <c r="J1178">
        <f t="shared" si="160"/>
        <v>65.255162061989182</v>
      </c>
    </row>
    <row r="1179" spans="4:10" x14ac:dyDescent="0.25">
      <c r="D1179">
        <v>41</v>
      </c>
      <c r="E1179" s="94">
        <f t="shared" si="161"/>
        <v>6.737062675843084E-3</v>
      </c>
      <c r="F1179">
        <f t="shared" si="157"/>
        <v>0.74954744974358667</v>
      </c>
      <c r="G1179">
        <f t="shared" si="158"/>
        <v>137.13786810661611</v>
      </c>
      <c r="H1179" s="94">
        <f t="shared" si="162"/>
        <v>1.5040774437960426E-2</v>
      </c>
      <c r="I1179" t="e">
        <f t="shared" si="159"/>
        <v>#DIV/0!</v>
      </c>
      <c r="J1179">
        <f t="shared" si="160"/>
        <v>64.064763270574304</v>
      </c>
    </row>
    <row r="1180" spans="4:10" x14ac:dyDescent="0.25">
      <c r="D1180">
        <v>42</v>
      </c>
      <c r="E1180" s="94">
        <f t="shared" si="161"/>
        <v>6.9054892427391611E-3</v>
      </c>
      <c r="F1180">
        <f t="shared" si="157"/>
        <v>0.68519747900420236</v>
      </c>
      <c r="G1180">
        <f t="shared" si="158"/>
        <v>136.00382013497924</v>
      </c>
      <c r="H1180" s="94">
        <f t="shared" si="162"/>
        <v>1.5346900827933703E-2</v>
      </c>
      <c r="I1180" t="e">
        <f t="shared" si="159"/>
        <v>#DIV/0!</v>
      </c>
      <c r="J1180">
        <f t="shared" si="160"/>
        <v>62.765914784154944</v>
      </c>
    </row>
    <row r="1181" spans="4:10" x14ac:dyDescent="0.25">
      <c r="D1181">
        <v>43</v>
      </c>
      <c r="E1181" s="94">
        <f t="shared" si="161"/>
        <v>7.0739158096352383E-3</v>
      </c>
      <c r="F1181">
        <f t="shared" si="157"/>
        <v>0.62672033399026916</v>
      </c>
      <c r="G1181">
        <f t="shared" si="158"/>
        <v>134.47316725233682</v>
      </c>
      <c r="H1181" s="94">
        <f t="shared" si="162"/>
        <v>1.5653027217906977E-2</v>
      </c>
      <c r="I1181" t="e">
        <f t="shared" si="159"/>
        <v>#DIV/0!</v>
      </c>
      <c r="J1181">
        <f t="shared" si="160"/>
        <v>61.371159217535023</v>
      </c>
    </row>
    <row r="1182" spans="4:10" x14ac:dyDescent="0.25">
      <c r="D1182">
        <v>44</v>
      </c>
      <c r="E1182" s="94">
        <f t="shared" si="161"/>
        <v>7.2423423765313154E-3</v>
      </c>
      <c r="F1182">
        <f t="shared" si="157"/>
        <v>0.57353754990246653</v>
      </c>
      <c r="G1182">
        <f t="shared" si="158"/>
        <v>132.57834446888018</v>
      </c>
      <c r="H1182" s="94">
        <f t="shared" si="162"/>
        <v>1.5959153607880253E-2</v>
      </c>
      <c r="I1182" t="e">
        <f t="shared" si="159"/>
        <v>#DIV/0!</v>
      </c>
      <c r="J1182">
        <f t="shared" si="160"/>
        <v>59.892727900446246</v>
      </c>
    </row>
    <row r="1183" spans="4:10" x14ac:dyDescent="0.25">
      <c r="D1183">
        <v>45</v>
      </c>
      <c r="E1183" s="94">
        <f t="shared" si="161"/>
        <v>7.4107689434273925E-3</v>
      </c>
      <c r="F1183">
        <f t="shared" si="157"/>
        <v>0.52513309778362316</v>
      </c>
      <c r="G1183">
        <f t="shared" si="158"/>
        <v>130.35249476883223</v>
      </c>
      <c r="H1183" s="94">
        <f t="shared" si="162"/>
        <v>1.626527999785353E-2</v>
      </c>
      <c r="I1183" t="e">
        <f t="shared" si="159"/>
        <v>#DIV/0!</v>
      </c>
      <c r="J1183">
        <f t="shared" si="160"/>
        <v>58.342459599932546</v>
      </c>
    </row>
    <row r="1184" spans="4:10" x14ac:dyDescent="0.25">
      <c r="D1184">
        <v>46</v>
      </c>
      <c r="E1184" s="94">
        <f t="shared" si="161"/>
        <v>7.5791955103234696E-3</v>
      </c>
      <c r="F1184">
        <f t="shared" si="157"/>
        <v>0.48104590886548682</v>
      </c>
      <c r="G1184">
        <f t="shared" si="158"/>
        <v>127.82900264464098</v>
      </c>
      <c r="H1184" s="94">
        <f t="shared" si="162"/>
        <v>1.6571406387826806E-2</v>
      </c>
      <c r="I1184" t="e">
        <f t="shared" si="159"/>
        <v>#DIV/0!</v>
      </c>
      <c r="J1184">
        <f t="shared" si="160"/>
        <v>56.731732891908052</v>
      </c>
    </row>
    <row r="1185" spans="4:10" x14ac:dyDescent="0.25">
      <c r="D1185">
        <v>47</v>
      </c>
      <c r="E1185" s="94">
        <f t="shared" si="161"/>
        <v>7.7476220772195467E-3</v>
      </c>
      <c r="F1185">
        <f t="shared" si="157"/>
        <v>0.44086339834003713</v>
      </c>
      <c r="G1185">
        <f t="shared" si="158"/>
        <v>125.04108167709234</v>
      </c>
      <c r="H1185" s="94">
        <f t="shared" si="162"/>
        <v>1.6877532777800082E-2</v>
      </c>
      <c r="I1185" t="e">
        <f t="shared" si="159"/>
        <v>#DIV/0!</v>
      </c>
      <c r="J1185">
        <f t="shared" si="160"/>
        <v>55.071411281174406</v>
      </c>
    </row>
    <row r="1186" spans="4:10" x14ac:dyDescent="0.25">
      <c r="D1186">
        <v>48</v>
      </c>
      <c r="E1186" s="94">
        <f t="shared" si="161"/>
        <v>7.9160486441156239E-3</v>
      </c>
      <c r="F1186">
        <f t="shared" si="157"/>
        <v>0.40421583941796024</v>
      </c>
      <c r="G1186">
        <f t="shared" si="158"/>
        <v>122.0214154384724</v>
      </c>
      <c r="H1186" s="94">
        <f t="shared" si="162"/>
        <v>1.7183659167773358E-2</v>
      </c>
      <c r="I1186" t="e">
        <f t="shared" si="159"/>
        <v>#DIV/0!</v>
      </c>
      <c r="J1186">
        <f t="shared" si="160"/>
        <v>53.371800110299461</v>
      </c>
    </row>
    <row r="1187" spans="4:10" x14ac:dyDescent="0.25">
      <c r="D1187">
        <v>49</v>
      </c>
      <c r="E1187" s="94">
        <f t="shared" si="161"/>
        <v>8.0844752110117001E-3</v>
      </c>
      <c r="F1187">
        <f t="shared" si="157"/>
        <v>0.37077146323033933</v>
      </c>
      <c r="G1187">
        <f t="shared" si="158"/>
        <v>118.80185007735369</v>
      </c>
      <c r="H1187" s="94">
        <f t="shared" si="162"/>
        <v>1.7489785557746634E-2</v>
      </c>
      <c r="I1187" t="e">
        <f t="shared" si="159"/>
        <v>#DIV/0!</v>
      </c>
      <c r="J1187">
        <f t="shared" si="160"/>
        <v>51.642614264667841</v>
      </c>
    </row>
    <row r="1188" spans="4:10" x14ac:dyDescent="0.25">
      <c r="D1188">
        <v>50</v>
      </c>
      <c r="E1188" s="94">
        <f t="shared" si="161"/>
        <v>8.2529017779077764E-3</v>
      </c>
      <c r="F1188">
        <f t="shared" si="157"/>
        <v>0.34023218032688346</v>
      </c>
      <c r="G1188">
        <f t="shared" si="158"/>
        <v>115.41313622654904</v>
      </c>
      <c r="H1188" s="94">
        <f t="shared" si="162"/>
        <v>1.7795911947719911E-2</v>
      </c>
      <c r="I1188" t="e">
        <f t="shared" si="159"/>
        <v>#DIV/0!</v>
      </c>
      <c r="J1188">
        <f t="shared" si="160"/>
        <v>49.892955669729098</v>
      </c>
    </row>
    <row r="1189" spans="4:10" x14ac:dyDescent="0.25">
      <c r="D1189">
        <v>51</v>
      </c>
      <c r="E1189" s="94">
        <f t="shared" si="161"/>
        <v>8.4213283448038526E-3</v>
      </c>
      <c r="F1189">
        <f t="shared" si="157"/>
        <v>0.31232983611670323</v>
      </c>
      <c r="G1189">
        <f t="shared" si="158"/>
        <v>111.88471733751416</v>
      </c>
      <c r="H1189" s="94">
        <f t="shared" si="162"/>
        <v>1.8102038337693187E-2</v>
      </c>
      <c r="I1189" t="e">
        <f t="shared" si="159"/>
        <v>#DIV/0!</v>
      </c>
      <c r="J1189">
        <f t="shared" si="160"/>
        <v>48.131299583337331</v>
      </c>
    </row>
    <row r="1190" spans="4:10" x14ac:dyDescent="0.25">
      <c r="D1190">
        <v>52</v>
      </c>
      <c r="E1190" s="94">
        <f t="shared" si="161"/>
        <v>8.5897549116999289E-3</v>
      </c>
      <c r="F1190">
        <f t="shared" si="157"/>
        <v>0.28682292628653955</v>
      </c>
      <c r="G1190">
        <f t="shared" si="158"/>
        <v>108.24456116247214</v>
      </c>
      <c r="H1190" s="94">
        <f t="shared" si="162"/>
        <v>1.8408164727666463E-2</v>
      </c>
      <c r="I1190" t="e">
        <f t="shared" si="159"/>
        <v>#DIV/0!</v>
      </c>
      <c r="J1190">
        <f t="shared" si="160"/>
        <v>46.365488707772684</v>
      </c>
    </row>
    <row r="1191" spans="4:10" x14ac:dyDescent="0.25">
      <c r="D1191">
        <v>53</v>
      </c>
      <c r="E1191" s="94">
        <f t="shared" si="161"/>
        <v>8.7581814785960051E-3</v>
      </c>
      <c r="F1191">
        <f t="shared" si="157"/>
        <v>0.26349370957013046</v>
      </c>
      <c r="G1191">
        <f t="shared" si="158"/>
        <v>104.51903085806266</v>
      </c>
      <c r="H1191" s="94">
        <f t="shared" si="162"/>
        <v>1.8714291117639739E-2</v>
      </c>
      <c r="I1191" t="e">
        <f t="shared" si="159"/>
        <v>#DIV/0!</v>
      </c>
      <c r="J1191">
        <f t="shared" si="160"/>
        <v>44.602734179586228</v>
      </c>
    </row>
    <row r="1192" spans="4:10" x14ac:dyDescent="0.25">
      <c r="D1192">
        <v>54</v>
      </c>
      <c r="E1192" s="94">
        <f t="shared" si="161"/>
        <v>8.9266080454920814E-3</v>
      </c>
      <c r="F1192">
        <f t="shared" si="157"/>
        <v>0.24214566467073109</v>
      </c>
      <c r="G1192">
        <f t="shared" si="158"/>
        <v>100.73279205090692</v>
      </c>
      <c r="H1192" s="94">
        <f t="shared" si="162"/>
        <v>1.9020417507613015E-2</v>
      </c>
      <c r="I1192" t="e">
        <f t="shared" si="159"/>
        <v>#DIV/0!</v>
      </c>
      <c r="J1192">
        <f t="shared" si="160"/>
        <v>42.849622538165569</v>
      </c>
    </row>
    <row r="1193" spans="4:10" x14ac:dyDescent="0.25">
      <c r="D1193">
        <v>55</v>
      </c>
      <c r="E1193" s="94">
        <f t="shared" si="161"/>
        <v>9.0950346123881576E-3</v>
      </c>
      <c r="F1193">
        <f t="shared" si="157"/>
        <v>0.22260124600746428</v>
      </c>
      <c r="G1193">
        <f t="shared" si="158"/>
        <v>96.908752167126906</v>
      </c>
      <c r="H1193" s="94">
        <f t="shared" si="162"/>
        <v>1.9326543897586292E-2</v>
      </c>
      <c r="I1193" t="e">
        <f t="shared" si="159"/>
        <v>#DIV/0!</v>
      </c>
      <c r="J1193">
        <f t="shared" si="160"/>
        <v>41.112127823559867</v>
      </c>
    </row>
    <row r="1194" spans="4:10" x14ac:dyDescent="0.25">
      <c r="D1194">
        <v>56</v>
      </c>
      <c r="E1194" s="94">
        <f t="shared" si="161"/>
        <v>9.2634611792842339E-3</v>
      </c>
      <c r="F1194">
        <f t="shared" si="157"/>
        <v>0.20469989954639584</v>
      </c>
      <c r="G1194">
        <f t="shared" si="158"/>
        <v>93.068028367245546</v>
      </c>
      <c r="H1194" s="94">
        <f t="shared" si="162"/>
        <v>1.9632670287559568E-2</v>
      </c>
      <c r="I1194" t="e">
        <f t="shared" si="159"/>
        <v>#DIV/0!</v>
      </c>
      <c r="J1194">
        <f t="shared" si="160"/>
        <v>39.395628008608178</v>
      </c>
    </row>
    <row r="1195" spans="4:10" x14ac:dyDescent="0.25">
      <c r="D1195">
        <v>57</v>
      </c>
      <c r="E1195" s="94">
        <f t="shared" si="161"/>
        <v>9.4318877461803102E-3</v>
      </c>
      <c r="F1195">
        <f t="shared" si="157"/>
        <v>0.18829630551536294</v>
      </c>
      <c r="G1195">
        <f t="shared" si="158"/>
        <v>89.229940529428589</v>
      </c>
      <c r="H1195" s="94">
        <f t="shared" si="162"/>
        <v>1.9938796677532844E-2</v>
      </c>
      <c r="I1195" t="e">
        <f t="shared" si="159"/>
        <v>#DIV/0!</v>
      </c>
      <c r="J1195">
        <f t="shared" si="160"/>
        <v>37.704925028052727</v>
      </c>
    </row>
    <row r="1196" spans="4:10" x14ac:dyDescent="0.25">
      <c r="D1196">
        <v>58</v>
      </c>
      <c r="E1196" s="94">
        <f t="shared" si="161"/>
        <v>9.6003143130763864E-3</v>
      </c>
      <c r="F1196">
        <f t="shared" si="157"/>
        <v>0.17325881947072444</v>
      </c>
      <c r="G1196">
        <f t="shared" si="158"/>
        <v>85.412025873884531</v>
      </c>
      <c r="H1196" s="94">
        <f t="shared" si="162"/>
        <v>2.024492306750612E-2</v>
      </c>
      <c r="I1196" t="e">
        <f t="shared" si="159"/>
        <v>#DIV/0!</v>
      </c>
      <c r="J1196">
        <f t="shared" si="160"/>
        <v>36.044267726617356</v>
      </c>
    </row>
    <row r="1197" spans="4:10" x14ac:dyDescent="0.25">
      <c r="D1197">
        <v>59</v>
      </c>
      <c r="E1197" s="94">
        <f t="shared" si="161"/>
        <v>9.7687408799724627E-3</v>
      </c>
      <c r="F1197">
        <f t="shared" si="157"/>
        <v>0.15946808713293562</v>
      </c>
      <c r="G1197">
        <f t="shared" si="158"/>
        <v>81.630072007292739</v>
      </c>
      <c r="H1197" s="94">
        <f t="shared" si="162"/>
        <v>2.0551049457479396E-2</v>
      </c>
      <c r="I1197" t="e">
        <f t="shared" si="159"/>
        <v>#DIV/0!</v>
      </c>
      <c r="J1197">
        <f t="shared" si="160"/>
        <v>34.417377107759251</v>
      </c>
    </row>
    <row r="1198" spans="4:10" x14ac:dyDescent="0.25">
      <c r="D1198">
        <v>60</v>
      </c>
      <c r="E1198" s="94">
        <f t="shared" si="161"/>
        <v>9.9371674468685389E-3</v>
      </c>
      <c r="F1198">
        <f t="shared" si="157"/>
        <v>0.1468158117573273</v>
      </c>
      <c r="G1198">
        <f t="shared" si="158"/>
        <v>77.898165377906949</v>
      </c>
      <c r="H1198" s="94">
        <f t="shared" si="162"/>
        <v>2.0857175847452673E-2</v>
      </c>
      <c r="I1198" t="e">
        <f t="shared" si="159"/>
        <v>#DIV/0!</v>
      </c>
      <c r="J1198">
        <f t="shared" si="160"/>
        <v>32.827473323945959</v>
      </c>
    </row>
    <row r="1199" spans="4:10" x14ac:dyDescent="0.25">
      <c r="D1199">
        <v>61</v>
      </c>
      <c r="E1199" s="94">
        <f t="shared" si="161"/>
        <v>1.0105594013764615E-2</v>
      </c>
      <c r="F1199">
        <f t="shared" si="157"/>
        <v>0.13520365565577278</v>
      </c>
      <c r="G1199">
        <f t="shared" si="158"/>
        <v>74.228752360539985</v>
      </c>
      <c r="H1199" s="94">
        <f t="shared" si="162"/>
        <v>2.1163302237425949E-2</v>
      </c>
      <c r="I1199" t="e">
        <f t="shared" si="159"/>
        <v>#DIV/0!</v>
      </c>
      <c r="J1199">
        <f t="shared" si="160"/>
        <v>31.277303907048442</v>
      </c>
    </row>
    <row r="1200" spans="4:10" x14ac:dyDescent="0.25">
      <c r="D1200">
        <v>62</v>
      </c>
      <c r="E1200" s="94">
        <f t="shared" si="161"/>
        <v>1.0274020580660691E-2</v>
      </c>
      <c r="F1200">
        <f t="shared" si="157"/>
        <v>0.1245422599154459</v>
      </c>
      <c r="G1200">
        <f t="shared" si="158"/>
        <v>70.632710428454317</v>
      </c>
      <c r="H1200" s="94">
        <f t="shared" si="162"/>
        <v>2.1469428627399225E-2</v>
      </c>
      <c r="I1200" t="e">
        <f t="shared" si="159"/>
        <v>#DIV/0!</v>
      </c>
      <c r="J1200">
        <f t="shared" si="160"/>
        <v>29.76917279312412</v>
      </c>
    </row>
    <row r="1201" spans="4:10" x14ac:dyDescent="0.25">
      <c r="D1201">
        <v>63</v>
      </c>
      <c r="E1201" s="94">
        <f t="shared" si="161"/>
        <v>1.0442447147556768E-2</v>
      </c>
      <c r="F1201">
        <f t="shared" si="157"/>
        <v>0.11475036843964448</v>
      </c>
      <c r="G1201">
        <f t="shared" si="158"/>
        <v>67.119427110037307</v>
      </c>
      <c r="H1201" s="94">
        <f t="shared" si="162"/>
        <v>2.1775555017372501E-2</v>
      </c>
      <c r="I1201" t="e">
        <f t="shared" si="159"/>
        <v>#DIV/0!</v>
      </c>
      <c r="J1201">
        <f t="shared" si="160"/>
        <v>28.30496974899749</v>
      </c>
    </row>
    <row r="1202" spans="4:10" x14ac:dyDescent="0.25">
      <c r="D1202">
        <v>64</v>
      </c>
      <c r="E1202" s="94">
        <f t="shared" si="161"/>
        <v>1.0610873714452844E-2</v>
      </c>
      <c r="F1202">
        <f t="shared" si="157"/>
        <v>0.10575404421812476</v>
      </c>
      <c r="G1202">
        <f t="shared" si="158"/>
        <v>63.696884666960791</v>
      </c>
      <c r="H1202" s="94">
        <f t="shared" si="162"/>
        <v>2.2081681407345777E-2</v>
      </c>
      <c r="I1202" t="e">
        <f t="shared" si="159"/>
        <v>#DIV/0!</v>
      </c>
      <c r="J1202">
        <f t="shared" si="160"/>
        <v>26.886199858256461</v>
      </c>
    </row>
    <row r="1203" spans="4:10" x14ac:dyDescent="0.25">
      <c r="D1203">
        <v>65</v>
      </c>
      <c r="E1203" s="94">
        <f t="shared" si="161"/>
        <v>1.077930028134892E-2</v>
      </c>
      <c r="F1203">
        <f t="shared" si="157"/>
        <v>9.7485967266542448E-2</v>
      </c>
      <c r="G1203">
        <f t="shared" si="158"/>
        <v>60.371748663282347</v>
      </c>
      <c r="H1203" s="94">
        <f t="shared" si="162"/>
        <v>2.2387807797319054E-2</v>
      </c>
      <c r="I1203" t="e">
        <f t="shared" si="159"/>
        <v>#DIV/0!</v>
      </c>
      <c r="J1203">
        <f t="shared" si="160"/>
        <v>25.514012771320008</v>
      </c>
    </row>
    <row r="1204" spans="4:10" x14ac:dyDescent="0.25">
      <c r="D1204">
        <v>66</v>
      </c>
      <c r="E1204" s="94">
        <f t="shared" si="161"/>
        <v>1.0947726848244996E-2</v>
      </c>
      <c r="F1204">
        <f t="shared" ref="F1204:F1238" si="163">GAMMADIST(E1204,$B$1144,1/$B$1145,0)</f>
        <v>8.9884804994689732E-2</v>
      </c>
      <c r="G1204">
        <f t="shared" ref="G1204:G1238" si="164">GAMMADIST(E1204,$B$1146,1/$B$1147,0)</f>
        <v>57.149458818512542</v>
      </c>
      <c r="H1204" s="94">
        <f t="shared" si="162"/>
        <v>2.269393418729233E-2</v>
      </c>
      <c r="I1204" t="e">
        <f t="shared" ref="I1204:I1238" si="165">GAMMADIST(H1204,$B$1152,1/$B$1153,0)</f>
        <v>#DIV/0!</v>
      </c>
      <c r="J1204">
        <f t="shared" ref="J1204:J1238" si="166">GAMMADIST(H1204,$B$1154,1/$B$1155,0)</f>
        <v>24.189231467937621</v>
      </c>
    </row>
    <row r="1205" spans="4:10" x14ac:dyDescent="0.25">
      <c r="D1205">
        <v>67</v>
      </c>
      <c r="E1205" s="94">
        <f t="shared" ref="E1205:E1238" si="167">E1204+$B$1148</f>
        <v>1.1116153415141073E-2</v>
      </c>
      <c r="F1205">
        <f t="shared" si="163"/>
        <v>8.2894646903187513E-2</v>
      </c>
      <c r="G1205">
        <f t="shared" si="164"/>
        <v>54.034320749707653</v>
      </c>
      <c r="H1205" s="94">
        <f t="shared" ref="H1205:H1238" si="168">H1204+$B$1156</f>
        <v>2.3000060577265606E-2</v>
      </c>
      <c r="I1205" t="e">
        <f t="shared" si="165"/>
        <v>#DIV/0!</v>
      </c>
      <c r="J1205">
        <f t="shared" si="166"/>
        <v>22.912380320771721</v>
      </c>
    </row>
    <row r="1206" spans="4:10" x14ac:dyDescent="0.25">
      <c r="D1206">
        <v>68</v>
      </c>
      <c r="E1206" s="94">
        <f t="shared" si="167"/>
        <v>1.1284579982037149E-2</v>
      </c>
      <c r="F1206">
        <f t="shared" si="163"/>
        <v>7.6464496494876799E-2</v>
      </c>
      <c r="G1206">
        <f t="shared" si="164"/>
        <v>51.029597406489273</v>
      </c>
      <c r="H1206" s="94">
        <f t="shared" si="168"/>
        <v>2.3306186967238882E-2</v>
      </c>
      <c r="I1206" t="e">
        <f t="shared" si="165"/>
        <v>#DIV/0!</v>
      </c>
      <c r="J1206">
        <f t="shared" si="166"/>
        <v>21.683712285584139</v>
      </c>
    </row>
    <row r="1207" spans="4:10" x14ac:dyDescent="0.25">
      <c r="D1207">
        <v>69</v>
      </c>
      <c r="E1207" s="94">
        <f t="shared" si="167"/>
        <v>1.1453006548933225E-2</v>
      </c>
      <c r="F1207">
        <f t="shared" si="163"/>
        <v>7.0547814142789281E-2</v>
      </c>
      <c r="G1207">
        <f t="shared" si="164"/>
        <v>48.137599187445645</v>
      </c>
      <c r="H1207" s="94">
        <f t="shared" si="168"/>
        <v>2.3612313357212159E-2</v>
      </c>
      <c r="I1207" t="e">
        <f t="shared" si="165"/>
        <v>#DIV/0!</v>
      </c>
      <c r="J1207">
        <f t="shared" si="166"/>
        <v>20.503235077036766</v>
      </c>
    </row>
    <row r="1208" spans="4:10" x14ac:dyDescent="0.25">
      <c r="D1208">
        <v>70</v>
      </c>
      <c r="E1208" s="94">
        <f t="shared" si="167"/>
        <v>1.1621433115829301E-2</v>
      </c>
      <c r="F1208">
        <f t="shared" si="163"/>
        <v>6.5102105400150698E-2</v>
      </c>
      <c r="G1208">
        <f t="shared" si="164"/>
        <v>45.359771896018742</v>
      </c>
      <c r="H1208" s="94">
        <f t="shared" si="168"/>
        <v>2.3918439747185435E-2</v>
      </c>
      <c r="I1208" t="e">
        <f t="shared" si="165"/>
        <v>#DIV/0!</v>
      </c>
      <c r="J1208">
        <f t="shared" si="166"/>
        <v>19.370736219312626</v>
      </c>
    </row>
    <row r="1209" spans="4:10" x14ac:dyDescent="0.25">
      <c r="D1209">
        <v>71</v>
      </c>
      <c r="E1209" s="94">
        <f t="shared" si="167"/>
        <v>1.1789859682725378E-2</v>
      </c>
      <c r="F1209">
        <f t="shared" si="163"/>
        <v>6.0088549885335699E-2</v>
      </c>
      <c r="G1209">
        <f t="shared" si="164"/>
        <v>42.696781848512153</v>
      </c>
      <c r="H1209" s="94">
        <f t="shared" si="168"/>
        <v>2.4224566137158711E-2</v>
      </c>
      <c r="I1209" t="e">
        <f t="shared" si="165"/>
        <v>#DIV/0!</v>
      </c>
      <c r="J1209">
        <f t="shared" si="166"/>
        <v>18.285806887789953</v>
      </c>
    </row>
    <row r="1210" spans="4:10" x14ac:dyDescent="0.25">
      <c r="D1210">
        <v>72</v>
      </c>
      <c r="E1210" s="94">
        <f t="shared" si="167"/>
        <v>1.1958286249621454E-2</v>
      </c>
      <c r="F1210">
        <f t="shared" si="163"/>
        <v>5.5471666439525384E-2</v>
      </c>
      <c r="G1210">
        <f t="shared" si="164"/>
        <v>40.148597586355741</v>
      </c>
      <c r="H1210" s="94">
        <f t="shared" si="168"/>
        <v>2.4530692527131987E-2</v>
      </c>
      <c r="I1210" t="e">
        <f t="shared" si="165"/>
        <v>#DIV/0!</v>
      </c>
      <c r="J1210">
        <f t="shared" si="166"/>
        <v>17.247864482003965</v>
      </c>
    </row>
    <row r="1211" spans="4:10" x14ac:dyDescent="0.25">
      <c r="D1211">
        <v>73</v>
      </c>
      <c r="E1211" s="94">
        <f t="shared" si="167"/>
        <v>1.212671281651753E-2</v>
      </c>
      <c r="F1211">
        <f t="shared" si="163"/>
        <v>5.1219010748473077E-2</v>
      </c>
      <c r="G1211">
        <f t="shared" si="164"/>
        <v>37.71456776959986</v>
      </c>
      <c r="H1211" s="94">
        <f t="shared" si="168"/>
        <v>2.4836818917105263E-2</v>
      </c>
      <c r="I1211" t="e">
        <f t="shared" si="165"/>
        <v>#DIV/0!</v>
      </c>
      <c r="J1211">
        <f t="shared" si="166"/>
        <v>16.256173891275402</v>
      </c>
    </row>
    <row r="1212" spans="4:10" x14ac:dyDescent="0.25">
      <c r="D1212">
        <v>74</v>
      </c>
      <c r="E1212" s="94">
        <f t="shared" si="167"/>
        <v>1.2295139383413606E-2</v>
      </c>
      <c r="F1212">
        <f t="shared" si="163"/>
        <v>4.7300902051985477E-2</v>
      </c>
      <c r="G1212">
        <f t="shared" si="164"/>
        <v>35.393494939318856</v>
      </c>
      <c r="H1212" s="94">
        <f t="shared" si="168"/>
        <v>2.514294530707854E-2</v>
      </c>
      <c r="I1212" t="e">
        <f t="shared" si="165"/>
        <v>#DIV/0!</v>
      </c>
      <c r="J1212">
        <f t="shared" si="166"/>
        <v>15.309867432854373</v>
      </c>
    </row>
    <row r="1213" spans="4:10" x14ac:dyDescent="0.25">
      <c r="D1213">
        <v>75</v>
      </c>
      <c r="E1213" s="94">
        <f t="shared" si="167"/>
        <v>1.2463565950309683E-2</v>
      </c>
      <c r="F1213">
        <f t="shared" si="163"/>
        <v>4.3690175943764668E-2</v>
      </c>
      <c r="G1213">
        <f t="shared" si="164"/>
        <v>33.183704933887753</v>
      </c>
      <c r="H1213" s="94">
        <f t="shared" si="168"/>
        <v>2.5449071697051816E-2</v>
      </c>
      <c r="I1213" t="e">
        <f t="shared" si="165"/>
        <v>#DIV/0!</v>
      </c>
      <c r="J1213">
        <f t="shared" si="166"/>
        <v>14.407963458404174</v>
      </c>
    </row>
    <row r="1214" spans="4:10" x14ac:dyDescent="0.25">
      <c r="D1214">
        <v>76</v>
      </c>
      <c r="E1214" s="94">
        <f t="shared" si="167"/>
        <v>1.2631992517205759E-2</v>
      </c>
      <c r="F1214">
        <f t="shared" si="163"/>
        <v>4.0361960597224016E-2</v>
      </c>
      <c r="G1214">
        <f t="shared" si="164"/>
        <v>31.083111828748628</v>
      </c>
      <c r="H1214" s="94">
        <f t="shared" si="168"/>
        <v>2.5755198087025092E-2</v>
      </c>
      <c r="I1214" t="e">
        <f t="shared" si="165"/>
        <v>#DIV/0!</v>
      </c>
      <c r="J1214">
        <f t="shared" si="166"/>
        <v>13.549383638328951</v>
      </c>
    </row>
    <row r="1215" spans="4:10" x14ac:dyDescent="0.25">
      <c r="D1215">
        <v>77</v>
      </c>
      <c r="E1215" s="94">
        <f t="shared" si="167"/>
        <v>1.2800419084101835E-2</v>
      </c>
      <c r="F1215">
        <f t="shared" si="163"/>
        <v>3.7293474045843523E-2</v>
      </c>
      <c r="G1215">
        <f t="shared" si="164"/>
        <v>29.089278342178453</v>
      </c>
      <c r="H1215" s="94">
        <f t="shared" si="168"/>
        <v>2.6061324476998368E-2</v>
      </c>
      <c r="I1215" t="e">
        <f t="shared" si="165"/>
        <v>#DIV/0!</v>
      </c>
      <c r="J1215">
        <f t="shared" si="166"/>
        <v>12.7329689450175</v>
      </c>
    </row>
    <row r="1216" spans="4:10" x14ac:dyDescent="0.25">
      <c r="D1216">
        <v>78</v>
      </c>
      <c r="E1216" s="94">
        <f t="shared" si="167"/>
        <v>1.2968845650997912E-2</v>
      </c>
      <c r="F1216">
        <f t="shared" si="163"/>
        <v>3.4463840404773266E-2</v>
      </c>
      <c r="G1216">
        <f t="shared" si="164"/>
        <v>27.199471711610613</v>
      </c>
      <c r="H1216" s="94">
        <f t="shared" si="168"/>
        <v>2.6367450866971644E-2</v>
      </c>
      <c r="I1216" t="e">
        <f t="shared" si="165"/>
        <v>#DIV/0!</v>
      </c>
      <c r="J1216">
        <f t="shared" si="166"/>
        <v>11.957494365722988</v>
      </c>
    </row>
    <row r="1217" spans="4:10" x14ac:dyDescent="0.25">
      <c r="D1217">
        <v>79</v>
      </c>
      <c r="E1217" s="94">
        <f t="shared" si="167"/>
        <v>1.3137272217893988E-2</v>
      </c>
      <c r="F1217">
        <f t="shared" si="163"/>
        <v>3.185392314820313E-2</v>
      </c>
      <c r="G1217">
        <f t="shared" si="164"/>
        <v>25.410715097176467</v>
      </c>
      <c r="H1217" s="94">
        <f t="shared" si="168"/>
        <v>2.6673577256944921E-2</v>
      </c>
      <c r="I1217" t="e">
        <f t="shared" si="165"/>
        <v>#DIV/0!</v>
      </c>
      <c r="J1217">
        <f t="shared" si="166"/>
        <v>11.22168238370773</v>
      </c>
    </row>
    <row r="1218" spans="4:10" x14ac:dyDescent="0.25">
      <c r="D1218">
        <v>80</v>
      </c>
      <c r="E1218" s="94">
        <f t="shared" si="167"/>
        <v>1.3305698784790064E-2</v>
      </c>
      <c r="F1218">
        <f t="shared" si="163"/>
        <v>2.9446173758337565E-2</v>
      </c>
      <c r="G1218">
        <f t="shared" si="164"/>
        <v>23.719834612235438</v>
      </c>
      <c r="H1218" s="94">
        <f t="shared" si="168"/>
        <v>2.6979703646918197E-2</v>
      </c>
      <c r="I1218" t="e">
        <f t="shared" si="165"/>
        <v>#DIV/0!</v>
      </c>
      <c r="J1218">
        <f t="shared" si="166"/>
        <v>10.524215272625984</v>
      </c>
    </row>
    <row r="1219" spans="4:10" x14ac:dyDescent="0.25">
      <c r="D1219">
        <v>81</v>
      </c>
      <c r="E1219" s="94">
        <f t="shared" si="167"/>
        <v>1.347412535168614E-2</v>
      </c>
      <c r="F1219">
        <f t="shared" si="163"/>
        <v>2.7224494239978563E-2</v>
      </c>
      <c r="G1219">
        <f t="shared" si="164"/>
        <v>22.123502115652322</v>
      </c>
      <c r="H1219" s="94">
        <f t="shared" si="168"/>
        <v>2.7285830036891473E-2</v>
      </c>
      <c r="I1219" t="e">
        <f t="shared" si="165"/>
        <v>#DIV/0!</v>
      </c>
      <c r="J1219">
        <f t="shared" si="166"/>
        <v>9.8637462540671912</v>
      </c>
    </row>
    <row r="1220" spans="4:10" x14ac:dyDescent="0.25">
      <c r="D1220">
        <v>82</v>
      </c>
      <c r="E1220" s="94">
        <f t="shared" si="167"/>
        <v>1.3642551918582217E-2</v>
      </c>
      <c r="F1220">
        <f t="shared" si="163"/>
        <v>2.5174112152597641E-2</v>
      </c>
      <c r="G1220">
        <f t="shared" si="164"/>
        <v>20.618273928326875</v>
      </c>
      <c r="H1220" s="94">
        <f t="shared" si="168"/>
        <v>2.7591956426864749E-2</v>
      </c>
      <c r="I1220" t="e">
        <f t="shared" si="165"/>
        <v>#DIV/0!</v>
      </c>
      <c r="J1220">
        <f t="shared" si="166"/>
        <v>9.2389095718910959</v>
      </c>
    </row>
    <row r="1221" spans="4:10" x14ac:dyDescent="0.25">
      <c r="D1221">
        <v>83</v>
      </c>
      <c r="E1221" s="94">
        <f t="shared" si="167"/>
        <v>1.3810978485478293E-2</v>
      </c>
      <c r="F1221">
        <f t="shared" si="163"/>
        <v>2.3281466951860324E-2</v>
      </c>
      <c r="G1221">
        <f t="shared" si="164"/>
        <v>19.200625657803865</v>
      </c>
      <c r="H1221" s="94">
        <f t="shared" si="168"/>
        <v>2.7898082816838025E-2</v>
      </c>
      <c r="I1221" t="e">
        <f t="shared" si="165"/>
        <v>#DIV/0!</v>
      </c>
      <c r="J1221">
        <f t="shared" si="166"/>
        <v>8.6483295396055109</v>
      </c>
    </row>
    <row r="1222" spans="4:10" x14ac:dyDescent="0.25">
      <c r="D1222">
        <v>84</v>
      </c>
      <c r="E1222" s="94">
        <f t="shared" si="167"/>
        <v>1.3979405052374369E-2</v>
      </c>
      <c r="F1222">
        <f t="shared" si="163"/>
        <v>2.153410655701609E-2</v>
      </c>
      <c r="G1222">
        <f t="shared" si="164"/>
        <v>17.866983330476291</v>
      </c>
      <c r="H1222" s="94">
        <f t="shared" si="168"/>
        <v>2.8204209206811302E-2</v>
      </c>
      <c r="I1222" t="e">
        <f t="shared" si="165"/>
        <v>#DIV/0!</v>
      </c>
      <c r="J1222">
        <f t="shared" si="166"/>
        <v>8.0906286187032155</v>
      </c>
    </row>
    <row r="1223" spans="4:10" x14ac:dyDescent="0.25">
      <c r="D1223">
        <v>85</v>
      </c>
      <c r="E1223" s="94">
        <f t="shared" si="167"/>
        <v>1.4147831619270445E-2</v>
      </c>
      <c r="F1223">
        <f t="shared" si="163"/>
        <v>1.9920593171260586E-2</v>
      </c>
      <c r="G1223">
        <f t="shared" si="164"/>
        <v>16.613751041662567</v>
      </c>
      <c r="H1223" s="94">
        <f t="shared" si="168"/>
        <v>2.8510335596784578E-2</v>
      </c>
      <c r="I1223" t="e">
        <f t="shared" si="165"/>
        <v>#DIV/0!</v>
      </c>
      <c r="J1223">
        <f t="shared" si="166"/>
        <v>7.5644345867143485</v>
      </c>
    </row>
    <row r="1224" spans="4:10" x14ac:dyDescent="0.25">
      <c r="D1224">
        <v>86</v>
      </c>
      <c r="E1224" s="94">
        <f t="shared" si="167"/>
        <v>1.4316258186166522E-2</v>
      </c>
      <c r="F1224">
        <f t="shared" si="163"/>
        <v>1.8430417480749441E-2</v>
      </c>
      <c r="G1224">
        <f t="shared" si="164"/>
        <v>15.437335340361468</v>
      </c>
      <c r="H1224" s="94">
        <f t="shared" si="168"/>
        <v>2.8816461986757854E-2</v>
      </c>
      <c r="I1224" t="e">
        <f t="shared" si="165"/>
        <v>#DIV/0!</v>
      </c>
      <c r="J1224">
        <f t="shared" si="166"/>
        <v>7.0683868538617949</v>
      </c>
    </row>
    <row r="1225" spans="4:10" x14ac:dyDescent="0.25">
      <c r="D1225">
        <v>87</v>
      </c>
      <c r="E1225" s="94">
        <f t="shared" si="167"/>
        <v>1.4484684753062598E-2</v>
      </c>
      <c r="F1225">
        <f t="shared" si="163"/>
        <v>1.7053920445824156E-2</v>
      </c>
      <c r="G1225">
        <f t="shared" si="164"/>
        <v>14.334166568389758</v>
      </c>
      <c r="H1225" s="94">
        <f t="shared" si="168"/>
        <v>2.912258837673113E-2</v>
      </c>
      <c r="I1225" t="e">
        <f t="shared" si="165"/>
        <v>#DIV/0!</v>
      </c>
      <c r="J1225">
        <f t="shared" si="166"/>
        <v>6.6011419867357972</v>
      </c>
    </row>
    <row r="1226" spans="4:10" x14ac:dyDescent="0.25">
      <c r="D1226">
        <v>88</v>
      </c>
      <c r="E1226" s="94">
        <f t="shared" si="167"/>
        <v>1.4653111319958674E-2</v>
      </c>
      <c r="F1226">
        <f t="shared" si="163"/>
        <v>1.5782221976441232E-2</v>
      </c>
      <c r="G1226">
        <f t="shared" si="164"/>
        <v>13.30071737344155</v>
      </c>
      <c r="H1226" s="94">
        <f t="shared" si="168"/>
        <v>2.9428714766704406E-2</v>
      </c>
      <c r="I1226" t="e">
        <f t="shared" si="165"/>
        <v>#DIV/0!</v>
      </c>
      <c r="J1226">
        <f t="shared" si="166"/>
        <v>6.1613784964271368</v>
      </c>
    </row>
    <row r="1227" spans="4:10" x14ac:dyDescent="0.25">
      <c r="D1227">
        <v>89</v>
      </c>
      <c r="E1227" s="94">
        <f t="shared" si="167"/>
        <v>1.482153788685475E-2</v>
      </c>
      <c r="F1227">
        <f t="shared" si="163"/>
        <v>1.4607155853870612E-2</v>
      </c>
      <c r="G1227">
        <f t="shared" si="164"/>
        <v>12.333518612890876</v>
      </c>
      <c r="H1227" s="94">
        <f t="shared" si="168"/>
        <v>2.9734841156677683E-2</v>
      </c>
      <c r="I1227" t="e">
        <f t="shared" si="165"/>
        <v>#DIV/0!</v>
      </c>
      <c r="J1227">
        <f t="shared" si="166"/>
        <v>5.7478009471638254</v>
      </c>
    </row>
    <row r="1228" spans="4:10" x14ac:dyDescent="0.25">
      <c r="D1228">
        <v>90</v>
      </c>
      <c r="E1228" s="94">
        <f t="shared" si="167"/>
        <v>1.4989964453750827E-2</v>
      </c>
      <c r="F1228">
        <f t="shared" si="163"/>
        <v>1.3521210323400576E-2</v>
      </c>
      <c r="G1228">
        <f t="shared" si="164"/>
        <v>11.429172860341149</v>
      </c>
      <c r="H1228" s="94">
        <f t="shared" si="168"/>
        <v>3.0040967546650959E-2</v>
      </c>
      <c r="I1228" t="e">
        <f t="shared" si="165"/>
        <v>#DIV/0!</v>
      </c>
      <c r="J1228">
        <f t="shared" si="166"/>
        <v>5.3591434397613975</v>
      </c>
    </row>
    <row r="1229" spans="4:10" x14ac:dyDescent="0.25">
      <c r="D1229">
        <v>91</v>
      </c>
      <c r="E1229" s="94">
        <f t="shared" si="167"/>
        <v>1.5158391020646903E-2</v>
      </c>
      <c r="F1229">
        <f t="shared" si="163"/>
        <v>1.2517473838891876E-2</v>
      </c>
      <c r="G1229">
        <f t="shared" si="164"/>
        <v>10.584365720418987</v>
      </c>
      <c r="H1229" s="94">
        <f t="shared" si="168"/>
        <v>3.0347093936624235E-2</v>
      </c>
      <c r="I1229" t="e">
        <f t="shared" si="165"/>
        <v>#DIV/0!</v>
      </c>
      <c r="J1229">
        <f t="shared" si="166"/>
        <v>4.994172522193014</v>
      </c>
    </row>
    <row r="1230" spans="4:10" x14ac:dyDescent="0.25">
      <c r="D1230">
        <v>92</v>
      </c>
      <c r="E1230" s="94">
        <f t="shared" si="167"/>
        <v>1.5326817587542979E-2</v>
      </c>
      <c r="F1230">
        <f t="shared" si="163"/>
        <v>1.1589585490301283E-2</v>
      </c>
      <c r="G1230">
        <f t="shared" si="164"/>
        <v>9.7958751494702874</v>
      </c>
      <c r="H1230" s="94">
        <f t="shared" si="168"/>
        <v>3.0653220326597511E-2</v>
      </c>
      <c r="I1230" t="e">
        <f t="shared" si="165"/>
        <v>#DIV/0!</v>
      </c>
      <c r="J1230">
        <f t="shared" si="166"/>
        <v>4.6516895773727374</v>
      </c>
    </row>
    <row r="1231" spans="4:10" x14ac:dyDescent="0.25">
      <c r="D1231">
        <v>93</v>
      </c>
      <c r="E1231" s="94">
        <f t="shared" si="167"/>
        <v>1.5495244154439055E-2</v>
      </c>
      <c r="F1231">
        <f t="shared" si="163"/>
        <v>1.0731689690390489E-2</v>
      </c>
      <c r="G1231">
        <f t="shared" si="164"/>
        <v>9.0605789709664819</v>
      </c>
      <c r="H1231" s="94">
        <f t="shared" si="168"/>
        <v>3.0959346716570788E-2</v>
      </c>
      <c r="I1231" t="e">
        <f t="shared" si="165"/>
        <v>#DIV/0!</v>
      </c>
      <c r="J1231">
        <f t="shared" si="166"/>
        <v>4.3305327358796957</v>
      </c>
    </row>
    <row r="1232" spans="4:10" x14ac:dyDescent="0.25">
      <c r="D1232">
        <v>94</v>
      </c>
      <c r="E1232" s="94">
        <f t="shared" si="167"/>
        <v>1.5663670721335132E-2</v>
      </c>
      <c r="F1232">
        <f t="shared" si="163"/>
        <v>9.9383947373206782E-3</v>
      </c>
      <c r="G1232">
        <f t="shared" si="164"/>
        <v>8.3754607648375394</v>
      </c>
      <c r="H1232" s="94">
        <f t="shared" si="168"/>
        <v>3.126547310654406E-2</v>
      </c>
      <c r="I1232" t="e">
        <f t="shared" si="165"/>
        <v>#DIV/0!</v>
      </c>
      <c r="J1232">
        <f t="shared" si="166"/>
        <v>4.0295783588783811</v>
      </c>
    </row>
    <row r="1233" spans="1:16" x14ac:dyDescent="0.25">
      <c r="D1233">
        <v>95</v>
      </c>
      <c r="E1233" s="94">
        <f t="shared" si="167"/>
        <v>1.583209728823121E-2</v>
      </c>
      <c r="F1233">
        <f t="shared" si="163"/>
        <v>9.2047349062112614E-3</v>
      </c>
      <c r="G1233">
        <f t="shared" si="164"/>
        <v>7.7376142998598132</v>
      </c>
      <c r="H1233" s="94">
        <f t="shared" si="168"/>
        <v>3.1571599496517333E-2</v>
      </c>
      <c r="I1233" t="e">
        <f t="shared" si="165"/>
        <v>#DIV/0!</v>
      </c>
      <c r="J1233">
        <f t="shared" si="166"/>
        <v>3.7477421339536585</v>
      </c>
    </row>
    <row r="1234" spans="1:16" x14ac:dyDescent="0.25">
      <c r="D1234">
        <v>96</v>
      </c>
      <c r="E1234" s="94">
        <f t="shared" si="167"/>
        <v>1.6000523855127288E-2</v>
      </c>
      <c r="F1234">
        <f t="shared" si="163"/>
        <v>8.5261357554550585E-3</v>
      </c>
      <c r="G1234">
        <f t="shared" si="164"/>
        <v>7.1442466678419265</v>
      </c>
      <c r="H1234" s="94">
        <f t="shared" si="168"/>
        <v>3.1877725886490606E-2</v>
      </c>
      <c r="I1234" t="e">
        <f t="shared" si="165"/>
        <v>#DIV/0!</v>
      </c>
      <c r="J1234">
        <f t="shared" si="166"/>
        <v>3.4839798240124464</v>
      </c>
    </row>
    <row r="1235" spans="1:16" x14ac:dyDescent="0.25">
      <c r="D1235">
        <v>97</v>
      </c>
      <c r="E1235" s="94">
        <f t="shared" si="167"/>
        <v>1.6168950422023366E-2</v>
      </c>
      <c r="F1235">
        <f t="shared" si="163"/>
        <v>7.8983823630273797E-3</v>
      </c>
      <c r="G1235">
        <f t="shared" si="164"/>
        <v>6.5926802678456031</v>
      </c>
      <c r="H1235" s="94">
        <f t="shared" si="168"/>
        <v>3.2183852276463878E-2</v>
      </c>
      <c r="I1235" t="e">
        <f t="shared" si="165"/>
        <v>#DIV/0!</v>
      </c>
      <c r="J1235">
        <f t="shared" si="166"/>
        <v>3.2372877068383215</v>
      </c>
    </row>
    <row r="1236" spans="1:16" x14ac:dyDescent="0.25">
      <c r="D1236">
        <v>98</v>
      </c>
      <c r="E1236" s="94">
        <f t="shared" si="167"/>
        <v>1.6337376988919444E-2</v>
      </c>
      <c r="F1236">
        <f t="shared" si="163"/>
        <v>7.3175902345488774E-3</v>
      </c>
      <c r="G1236">
        <f t="shared" si="164"/>
        <v>6.080353778194854</v>
      </c>
      <c r="H1236" s="94">
        <f t="shared" si="168"/>
        <v>3.2489978666437151E-2</v>
      </c>
      <c r="I1236" t="e">
        <f t="shared" si="165"/>
        <v>#DIV/0!</v>
      </c>
      <c r="J1236">
        <f t="shared" si="166"/>
        <v>3.0067027403460034</v>
      </c>
    </row>
    <row r="1237" spans="1:16" x14ac:dyDescent="0.25">
      <c r="D1237">
        <v>99</v>
      </c>
      <c r="E1237" s="94">
        <f t="shared" si="167"/>
        <v>1.6505803555815522E-2</v>
      </c>
      <c r="F1237">
        <f t="shared" si="163"/>
        <v>6.7801786487718145E-3</v>
      </c>
      <c r="G1237">
        <f t="shared" si="164"/>
        <v>5.604822243688071</v>
      </c>
      <c r="H1237" s="94">
        <f t="shared" si="168"/>
        <v>3.2796105056410424E-2</v>
      </c>
      <c r="I1237" t="e">
        <f t="shared" si="165"/>
        <v>#DIV/0!</v>
      </c>
      <c r="J1237">
        <f t="shared" si="166"/>
        <v>2.791302486090415</v>
      </c>
    </row>
    <row r="1238" spans="1:16" x14ac:dyDescent="0.25">
      <c r="D1238">
        <v>100</v>
      </c>
      <c r="E1238" s="94">
        <f t="shared" si="167"/>
        <v>1.66742301227116E-2</v>
      </c>
      <c r="F1238">
        <f t="shared" si="163"/>
        <v>6.2828462277288825E-3</v>
      </c>
      <c r="G1238">
        <f t="shared" si="164"/>
        <v>5.1637563953287806</v>
      </c>
      <c r="H1238" s="94">
        <f t="shared" si="168"/>
        <v>3.3102231446383697E-2</v>
      </c>
      <c r="I1238" t="e">
        <f t="shared" si="165"/>
        <v>#DIV/0!</v>
      </c>
      <c r="J1238">
        <f t="shared" si="166"/>
        <v>2.5902048211577462</v>
      </c>
    </row>
    <row r="1241" spans="1:16" x14ac:dyDescent="0.25">
      <c r="A1241" s="6" t="s">
        <v>284</v>
      </c>
      <c r="B1241" s="6"/>
      <c r="C1241" s="6"/>
      <c r="D1241" s="6" t="s">
        <v>285</v>
      </c>
      <c r="E1241" s="6" t="s">
        <v>286</v>
      </c>
      <c r="F1241" s="6" t="s">
        <v>73</v>
      </c>
      <c r="G1241" s="6" t="s">
        <v>74</v>
      </c>
      <c r="H1241" s="6" t="s">
        <v>39</v>
      </c>
      <c r="I1241" s="6"/>
      <c r="J1241" s="6"/>
      <c r="K1241" s="6">
        <f>Normal!D1268</f>
        <v>0</v>
      </c>
      <c r="L1241" s="6"/>
      <c r="M1241" s="6"/>
      <c r="N1241" s="6"/>
      <c r="O1241" s="6"/>
      <c r="P1241" s="6"/>
    </row>
    <row r="1242" spans="1:16" x14ac:dyDescent="0.25">
      <c r="A1242" t="s">
        <v>24</v>
      </c>
      <c r="B1242" s="50">
        <f>Uniform!D20</f>
        <v>0.44999999999999996</v>
      </c>
      <c r="D1242">
        <v>1</v>
      </c>
      <c r="E1242" s="94">
        <f>B1246</f>
        <v>0.30299999999999999</v>
      </c>
      <c r="F1242">
        <v>0</v>
      </c>
      <c r="G1242">
        <f>IF(OR($E1242&gt;$B$1245,$E1242&lt;$B$1244),NA(),$F1242)</f>
        <v>0</v>
      </c>
      <c r="H1242">
        <f>($E1242-$B$1248)/($B$1249-$B$1248)</f>
        <v>1.0000000000000009E-2</v>
      </c>
      <c r="I1242">
        <f>IF(OR($E1242&gt;$B$1245,$E1242&lt;$B$1244),NA(),$H1242)</f>
        <v>1.0000000000000009E-2</v>
      </c>
      <c r="K1242" s="44">
        <f>Beta!$D1167</f>
        <v>0</v>
      </c>
      <c r="L1242" t="s">
        <v>28</v>
      </c>
      <c r="M1242" s="42">
        <v>0</v>
      </c>
    </row>
    <row r="1243" spans="1:16" x14ac:dyDescent="0.25">
      <c r="A1243" t="s">
        <v>25</v>
      </c>
      <c r="B1243">
        <f>Uniform!D21</f>
        <v>8.6602540378443865E-2</v>
      </c>
      <c r="D1243">
        <v>2</v>
      </c>
      <c r="E1243" s="94">
        <f>B1246</f>
        <v>0.30299999999999999</v>
      </c>
      <c r="F1243">
        <f t="shared" ref="F1243:F1306" si="169">1/($B$1249-$B$1248)</f>
        <v>3.3333333333333335</v>
      </c>
      <c r="G1243">
        <f t="shared" ref="G1243:G1306" si="170">IF(OR($E1243&gt;$B$1245,$E1243&lt;$B$1244),NA(),$F1243)</f>
        <v>3.3333333333333335</v>
      </c>
      <c r="H1243">
        <f t="shared" ref="H1243:H1306" si="171">($E1243-$B$1248)/($B$1249-$B$1248)</f>
        <v>1.0000000000000009E-2</v>
      </c>
      <c r="I1243">
        <f t="shared" ref="I1243:I1306" si="172">IF(OR($E1243&gt;$B$1245,$E1243&lt;$B$1244),NA(),$H1243)</f>
        <v>1.0000000000000009E-2</v>
      </c>
      <c r="K1243" s="44">
        <f>Beta!$D1168</f>
        <v>0</v>
      </c>
      <c r="L1243" t="s">
        <v>29</v>
      </c>
      <c r="M1243" s="42">
        <v>1</v>
      </c>
    </row>
    <row r="1244" spans="1:16" x14ac:dyDescent="0.25">
      <c r="A1244" t="s">
        <v>26</v>
      </c>
      <c r="B1244" s="50">
        <f>Uniform!D12</f>
        <v>0.3</v>
      </c>
      <c r="D1244">
        <v>3</v>
      </c>
      <c r="E1244" s="94">
        <f t="shared" ref="E1244:E1307" si="173">E1243+$B$1252</f>
        <v>0.30599999999999999</v>
      </c>
      <c r="F1244">
        <f t="shared" si="169"/>
        <v>3.3333333333333335</v>
      </c>
      <c r="G1244">
        <f t="shared" si="170"/>
        <v>3.3333333333333335</v>
      </c>
      <c r="H1244">
        <f t="shared" si="171"/>
        <v>2.0000000000000018E-2</v>
      </c>
      <c r="I1244">
        <f t="shared" si="172"/>
        <v>2.0000000000000018E-2</v>
      </c>
      <c r="K1244" s="44">
        <f>Beta!$D1169</f>
        <v>0</v>
      </c>
    </row>
    <row r="1245" spans="1:16" x14ac:dyDescent="0.25">
      <c r="A1245" t="s">
        <v>27</v>
      </c>
      <c r="B1245" s="50">
        <f>Uniform!D13</f>
        <v>0.5</v>
      </c>
      <c r="D1245">
        <v>4</v>
      </c>
      <c r="E1245" s="94">
        <f t="shared" si="173"/>
        <v>0.309</v>
      </c>
      <c r="F1245">
        <f t="shared" si="169"/>
        <v>3.3333333333333335</v>
      </c>
      <c r="G1245">
        <f t="shared" si="170"/>
        <v>3.3333333333333335</v>
      </c>
      <c r="H1245">
        <f t="shared" si="171"/>
        <v>3.0000000000000027E-2</v>
      </c>
      <c r="I1245">
        <f t="shared" si="172"/>
        <v>3.0000000000000027E-2</v>
      </c>
      <c r="K1245" s="44">
        <f>Beta!$D1170</f>
        <v>0</v>
      </c>
      <c r="M1245" t="s">
        <v>53</v>
      </c>
      <c r="N1245" t="s">
        <v>54</v>
      </c>
    </row>
    <row r="1246" spans="1:16" x14ac:dyDescent="0.25">
      <c r="A1246" t="s">
        <v>28</v>
      </c>
      <c r="B1246" s="50">
        <f>$B$1248+0.01*($B$1249-$B$1248)</f>
        <v>0.30299999999999999</v>
      </c>
      <c r="D1246">
        <v>5</v>
      </c>
      <c r="E1246" s="94">
        <f t="shared" si="173"/>
        <v>0.312</v>
      </c>
      <c r="F1246">
        <f t="shared" si="169"/>
        <v>3.3333333333333335</v>
      </c>
      <c r="G1246">
        <f t="shared" si="170"/>
        <v>3.3333333333333335</v>
      </c>
      <c r="H1246">
        <f t="shared" si="171"/>
        <v>4.0000000000000036E-2</v>
      </c>
      <c r="I1246">
        <f t="shared" si="172"/>
        <v>4.0000000000000036E-2</v>
      </c>
      <c r="K1246" s="44">
        <f>Beta!$D1171</f>
        <v>0</v>
      </c>
      <c r="L1246">
        <v>1</v>
      </c>
      <c r="M1246">
        <f>M1242</f>
        <v>0</v>
      </c>
      <c r="N1246">
        <f ca="1">O1246</f>
        <v>76</v>
      </c>
      <c r="O1246">
        <f ca="1">COUNTIF($K$108:$K$207,"&lt;"&amp;M1247)</f>
        <v>76</v>
      </c>
      <c r="P1246" s="38">
        <f>M1242</f>
        <v>0</v>
      </c>
    </row>
    <row r="1247" spans="1:16" x14ac:dyDescent="0.25">
      <c r="A1247" t="s">
        <v>29</v>
      </c>
      <c r="B1247" s="50">
        <f>$B$1248+0.99*($B$1249-$B$1248)</f>
        <v>0.59699999999999998</v>
      </c>
      <c r="D1247">
        <v>6</v>
      </c>
      <c r="E1247" s="94">
        <f t="shared" si="173"/>
        <v>0.315</v>
      </c>
      <c r="F1247">
        <f t="shared" si="169"/>
        <v>3.3333333333333335</v>
      </c>
      <c r="G1247">
        <f t="shared" si="170"/>
        <v>3.3333333333333335</v>
      </c>
      <c r="H1247">
        <f t="shared" si="171"/>
        <v>5.0000000000000044E-2</v>
      </c>
      <c r="I1247">
        <f t="shared" si="172"/>
        <v>5.0000000000000044E-2</v>
      </c>
      <c r="K1247" s="44">
        <f>Beta!$D1172</f>
        <v>0</v>
      </c>
      <c r="L1247">
        <v>2</v>
      </c>
      <c r="M1247">
        <f>M1246+($M$109-$M$108)/7</f>
        <v>0.14285714285714285</v>
      </c>
      <c r="N1247">
        <f t="shared" ref="N1247:N1252" ca="1" si="174">O1247-O1246</f>
        <v>19</v>
      </c>
      <c r="O1247">
        <f t="shared" ref="O1247:O1252" ca="1" si="175">COUNTIF($K$108:$K$207,"&lt;"&amp;M1248)</f>
        <v>95</v>
      </c>
    </row>
    <row r="1248" spans="1:16" x14ac:dyDescent="0.25">
      <c r="A1248" t="s">
        <v>289</v>
      </c>
      <c r="B1248">
        <f>Uniform!C5</f>
        <v>0.3</v>
      </c>
      <c r="D1248">
        <v>7</v>
      </c>
      <c r="E1248" s="94">
        <f t="shared" si="173"/>
        <v>0.318</v>
      </c>
      <c r="F1248">
        <f t="shared" si="169"/>
        <v>3.3333333333333335</v>
      </c>
      <c r="G1248">
        <f t="shared" si="170"/>
        <v>3.3333333333333335</v>
      </c>
      <c r="H1248">
        <f t="shared" si="171"/>
        <v>6.0000000000000053E-2</v>
      </c>
      <c r="I1248">
        <f t="shared" si="172"/>
        <v>6.0000000000000053E-2</v>
      </c>
      <c r="K1248" s="44">
        <f>Beta!$D1173</f>
        <v>0</v>
      </c>
      <c r="L1248">
        <v>3</v>
      </c>
      <c r="M1248">
        <f t="shared" ref="M1248:M1253" si="176">M1247+($M$109-$M$108)/7</f>
        <v>0.2857142857142857</v>
      </c>
      <c r="N1248">
        <f t="shared" ca="1" si="174"/>
        <v>4</v>
      </c>
      <c r="O1248">
        <f t="shared" ca="1" si="175"/>
        <v>99</v>
      </c>
    </row>
    <row r="1249" spans="1:16" x14ac:dyDescent="0.25">
      <c r="A1249" t="s">
        <v>290</v>
      </c>
      <c r="B1249">
        <f>Uniform!C6</f>
        <v>0.6</v>
      </c>
      <c r="D1249">
        <v>8</v>
      </c>
      <c r="E1249" s="94">
        <f t="shared" si="173"/>
        <v>0.32100000000000001</v>
      </c>
      <c r="F1249">
        <f t="shared" si="169"/>
        <v>3.3333333333333335</v>
      </c>
      <c r="G1249">
        <f t="shared" si="170"/>
        <v>3.3333333333333335</v>
      </c>
      <c r="H1249">
        <f t="shared" si="171"/>
        <v>7.0000000000000062E-2</v>
      </c>
      <c r="I1249">
        <f t="shared" si="172"/>
        <v>7.0000000000000062E-2</v>
      </c>
      <c r="K1249" s="44">
        <f>Beta!$D1174</f>
        <v>0</v>
      </c>
      <c r="L1249">
        <v>4</v>
      </c>
      <c r="M1249">
        <f t="shared" si="176"/>
        <v>0.42857142857142855</v>
      </c>
      <c r="N1249">
        <f t="shared" ca="1" si="174"/>
        <v>1</v>
      </c>
      <c r="O1249">
        <f t="shared" ca="1" si="175"/>
        <v>100</v>
      </c>
      <c r="P1249" s="38">
        <v>0.5</v>
      </c>
    </row>
    <row r="1250" spans="1:16" x14ac:dyDescent="0.25">
      <c r="D1250">
        <v>9</v>
      </c>
      <c r="E1250" s="94">
        <f t="shared" si="173"/>
        <v>0.32400000000000001</v>
      </c>
      <c r="F1250">
        <f t="shared" si="169"/>
        <v>3.3333333333333335</v>
      </c>
      <c r="G1250">
        <f t="shared" si="170"/>
        <v>3.3333333333333335</v>
      </c>
      <c r="H1250">
        <f t="shared" si="171"/>
        <v>8.0000000000000071E-2</v>
      </c>
      <c r="I1250">
        <f t="shared" si="172"/>
        <v>8.0000000000000071E-2</v>
      </c>
      <c r="K1250" s="44">
        <f>Beta!$D1175</f>
        <v>0</v>
      </c>
      <c r="L1250">
        <v>5</v>
      </c>
      <c r="M1250">
        <f t="shared" si="176"/>
        <v>0.5714285714285714</v>
      </c>
      <c r="N1250">
        <f t="shared" ca="1" si="174"/>
        <v>0</v>
      </c>
      <c r="O1250">
        <f t="shared" ca="1" si="175"/>
        <v>100</v>
      </c>
    </row>
    <row r="1251" spans="1:16" x14ac:dyDescent="0.25">
      <c r="D1251">
        <v>10</v>
      </c>
      <c r="E1251" s="94">
        <f t="shared" si="173"/>
        <v>0.32700000000000001</v>
      </c>
      <c r="F1251">
        <f t="shared" si="169"/>
        <v>3.3333333333333335</v>
      </c>
      <c r="G1251">
        <f t="shared" si="170"/>
        <v>3.3333333333333335</v>
      </c>
      <c r="H1251">
        <f t="shared" si="171"/>
        <v>9.000000000000008E-2</v>
      </c>
      <c r="I1251">
        <f t="shared" si="172"/>
        <v>9.000000000000008E-2</v>
      </c>
      <c r="K1251" s="44">
        <f>Beta!$D1176</f>
        <v>0</v>
      </c>
      <c r="L1251">
        <v>6</v>
      </c>
      <c r="M1251">
        <f t="shared" si="176"/>
        <v>0.71428571428571419</v>
      </c>
      <c r="N1251">
        <f t="shared" ca="1" si="174"/>
        <v>0</v>
      </c>
      <c r="O1251">
        <f t="shared" ca="1" si="175"/>
        <v>100</v>
      </c>
    </row>
    <row r="1252" spans="1:16" x14ac:dyDescent="0.25">
      <c r="A1252" t="s">
        <v>199</v>
      </c>
      <c r="B1252" s="50">
        <f>(B1247-B1246)/98</f>
        <v>2.9999999999999996E-3</v>
      </c>
      <c r="D1252">
        <v>11</v>
      </c>
      <c r="E1252" s="94">
        <f t="shared" si="173"/>
        <v>0.33</v>
      </c>
      <c r="F1252">
        <f t="shared" si="169"/>
        <v>3.3333333333333335</v>
      </c>
      <c r="G1252">
        <f t="shared" si="170"/>
        <v>3.3333333333333335</v>
      </c>
      <c r="H1252">
        <f t="shared" si="171"/>
        <v>0.10000000000000009</v>
      </c>
      <c r="I1252">
        <f t="shared" si="172"/>
        <v>0.10000000000000009</v>
      </c>
      <c r="K1252" s="44">
        <f>Beta!$D1177</f>
        <v>0</v>
      </c>
      <c r="L1252">
        <v>7</v>
      </c>
      <c r="M1252">
        <f t="shared" si="176"/>
        <v>0.85714285714285698</v>
      </c>
      <c r="N1252">
        <f t="shared" ca="1" si="174"/>
        <v>0</v>
      </c>
      <c r="O1252">
        <f t="shared" ca="1" si="175"/>
        <v>100</v>
      </c>
      <c r="P1252" s="38">
        <f>M1243</f>
        <v>1</v>
      </c>
    </row>
    <row r="1253" spans="1:16" x14ac:dyDescent="0.25">
      <c r="D1253">
        <v>12</v>
      </c>
      <c r="E1253" s="94">
        <f t="shared" si="173"/>
        <v>0.33300000000000002</v>
      </c>
      <c r="F1253">
        <f t="shared" si="169"/>
        <v>3.3333333333333335</v>
      </c>
      <c r="G1253">
        <f t="shared" si="170"/>
        <v>3.3333333333333335</v>
      </c>
      <c r="H1253">
        <f t="shared" si="171"/>
        <v>0.1100000000000001</v>
      </c>
      <c r="I1253">
        <f t="shared" si="172"/>
        <v>0.1100000000000001</v>
      </c>
      <c r="K1253" s="44">
        <f>Beta!$D1178</f>
        <v>0</v>
      </c>
      <c r="L1253">
        <v>8</v>
      </c>
      <c r="M1253">
        <f t="shared" si="176"/>
        <v>0.99999999999999978</v>
      </c>
    </row>
    <row r="1254" spans="1:16" x14ac:dyDescent="0.25">
      <c r="D1254">
        <v>13</v>
      </c>
      <c r="E1254" s="94">
        <f t="shared" si="173"/>
        <v>0.33600000000000002</v>
      </c>
      <c r="F1254">
        <f t="shared" si="169"/>
        <v>3.3333333333333335</v>
      </c>
      <c r="G1254">
        <f t="shared" si="170"/>
        <v>3.3333333333333335</v>
      </c>
      <c r="H1254">
        <f t="shared" si="171"/>
        <v>0.12000000000000011</v>
      </c>
      <c r="I1254">
        <f t="shared" si="172"/>
        <v>0.12000000000000011</v>
      </c>
      <c r="K1254" s="44">
        <f>Beta!$D1179</f>
        <v>0</v>
      </c>
    </row>
    <row r="1255" spans="1:16" x14ac:dyDescent="0.25">
      <c r="D1255">
        <v>14</v>
      </c>
      <c r="E1255" s="94">
        <f t="shared" si="173"/>
        <v>0.33900000000000002</v>
      </c>
      <c r="F1255">
        <f t="shared" si="169"/>
        <v>3.3333333333333335</v>
      </c>
      <c r="G1255">
        <f t="shared" si="170"/>
        <v>3.3333333333333335</v>
      </c>
      <c r="H1255">
        <f t="shared" si="171"/>
        <v>0.13000000000000012</v>
      </c>
      <c r="I1255">
        <f t="shared" si="172"/>
        <v>0.13000000000000012</v>
      </c>
      <c r="K1255" s="44">
        <f>Beta!$D1180</f>
        <v>0</v>
      </c>
    </row>
    <row r="1256" spans="1:16" x14ac:dyDescent="0.25">
      <c r="D1256">
        <v>15</v>
      </c>
      <c r="E1256" s="94">
        <f t="shared" si="173"/>
        <v>0.34200000000000003</v>
      </c>
      <c r="F1256">
        <f t="shared" si="169"/>
        <v>3.3333333333333335</v>
      </c>
      <c r="G1256">
        <f t="shared" si="170"/>
        <v>3.3333333333333335</v>
      </c>
      <c r="H1256">
        <f t="shared" si="171"/>
        <v>0.14000000000000012</v>
      </c>
      <c r="I1256">
        <f t="shared" si="172"/>
        <v>0.14000000000000012</v>
      </c>
      <c r="K1256" s="44">
        <f>Beta!$D1181</f>
        <v>0</v>
      </c>
    </row>
    <row r="1257" spans="1:16" x14ac:dyDescent="0.25">
      <c r="D1257">
        <v>16</v>
      </c>
      <c r="E1257" s="94">
        <f t="shared" si="173"/>
        <v>0.34500000000000003</v>
      </c>
      <c r="F1257">
        <f t="shared" si="169"/>
        <v>3.3333333333333335</v>
      </c>
      <c r="G1257">
        <f t="shared" si="170"/>
        <v>3.3333333333333335</v>
      </c>
      <c r="H1257">
        <f t="shared" si="171"/>
        <v>0.15000000000000013</v>
      </c>
      <c r="I1257">
        <f t="shared" si="172"/>
        <v>0.15000000000000013</v>
      </c>
      <c r="K1257" s="44">
        <f>Beta!$D1182</f>
        <v>0</v>
      </c>
      <c r="N1257">
        <f ca="1">SUM(N1246:N1255)</f>
        <v>100</v>
      </c>
      <c r="O1257">
        <f ca="1">SUM(O1246:O1255)</f>
        <v>670</v>
      </c>
    </row>
    <row r="1258" spans="1:16" x14ac:dyDescent="0.25">
      <c r="D1258">
        <v>17</v>
      </c>
      <c r="E1258" s="94">
        <f t="shared" si="173"/>
        <v>0.34800000000000003</v>
      </c>
      <c r="F1258">
        <f t="shared" si="169"/>
        <v>3.3333333333333335</v>
      </c>
      <c r="G1258">
        <f t="shared" si="170"/>
        <v>3.3333333333333335</v>
      </c>
      <c r="H1258">
        <f t="shared" si="171"/>
        <v>0.16000000000000014</v>
      </c>
      <c r="I1258">
        <f t="shared" si="172"/>
        <v>0.16000000000000014</v>
      </c>
      <c r="K1258" s="44">
        <f>Beta!$D1183</f>
        <v>0</v>
      </c>
    </row>
    <row r="1259" spans="1:16" x14ac:dyDescent="0.25">
      <c r="D1259">
        <v>18</v>
      </c>
      <c r="E1259" s="94">
        <f t="shared" si="173"/>
        <v>0.35100000000000003</v>
      </c>
      <c r="F1259">
        <f t="shared" si="169"/>
        <v>3.3333333333333335</v>
      </c>
      <c r="G1259">
        <f t="shared" si="170"/>
        <v>3.3333333333333335</v>
      </c>
      <c r="H1259">
        <f t="shared" si="171"/>
        <v>0.17000000000000015</v>
      </c>
      <c r="I1259">
        <f t="shared" si="172"/>
        <v>0.17000000000000015</v>
      </c>
      <c r="K1259" s="44">
        <f>Beta!$D1184</f>
        <v>0</v>
      </c>
    </row>
    <row r="1260" spans="1:16" x14ac:dyDescent="0.25">
      <c r="D1260">
        <v>19</v>
      </c>
      <c r="E1260" s="94">
        <f t="shared" si="173"/>
        <v>0.35400000000000004</v>
      </c>
      <c r="F1260">
        <f t="shared" si="169"/>
        <v>3.3333333333333335</v>
      </c>
      <c r="G1260">
        <f t="shared" si="170"/>
        <v>3.3333333333333335</v>
      </c>
      <c r="H1260">
        <f t="shared" si="171"/>
        <v>0.18000000000000016</v>
      </c>
      <c r="I1260">
        <f t="shared" si="172"/>
        <v>0.18000000000000016</v>
      </c>
      <c r="K1260" s="44">
        <f>Beta!$D1185</f>
        <v>0</v>
      </c>
    </row>
    <row r="1261" spans="1:16" x14ac:dyDescent="0.25">
      <c r="D1261">
        <v>20</v>
      </c>
      <c r="E1261" s="94">
        <f t="shared" si="173"/>
        <v>0.35700000000000004</v>
      </c>
      <c r="F1261">
        <f t="shared" si="169"/>
        <v>3.3333333333333335</v>
      </c>
      <c r="G1261">
        <f t="shared" si="170"/>
        <v>3.3333333333333335</v>
      </c>
      <c r="H1261">
        <f t="shared" si="171"/>
        <v>0.19000000000000017</v>
      </c>
      <c r="I1261">
        <f t="shared" si="172"/>
        <v>0.19000000000000017</v>
      </c>
      <c r="K1261" s="44">
        <f>Beta!$D1186</f>
        <v>0</v>
      </c>
    </row>
    <row r="1262" spans="1:16" x14ac:dyDescent="0.25">
      <c r="D1262">
        <v>21</v>
      </c>
      <c r="E1262" s="94">
        <f t="shared" si="173"/>
        <v>0.36000000000000004</v>
      </c>
      <c r="F1262">
        <f t="shared" si="169"/>
        <v>3.3333333333333335</v>
      </c>
      <c r="G1262">
        <f t="shared" si="170"/>
        <v>3.3333333333333335</v>
      </c>
      <c r="H1262">
        <f t="shared" si="171"/>
        <v>0.20000000000000018</v>
      </c>
      <c r="I1262">
        <f t="shared" si="172"/>
        <v>0.20000000000000018</v>
      </c>
      <c r="K1262" s="44">
        <f>Beta!$D1187</f>
        <v>0</v>
      </c>
    </row>
    <row r="1263" spans="1:16" x14ac:dyDescent="0.25">
      <c r="D1263">
        <v>22</v>
      </c>
      <c r="E1263" s="94">
        <f t="shared" si="173"/>
        <v>0.36300000000000004</v>
      </c>
      <c r="F1263">
        <f t="shared" si="169"/>
        <v>3.3333333333333335</v>
      </c>
      <c r="G1263">
        <f t="shared" si="170"/>
        <v>3.3333333333333335</v>
      </c>
      <c r="H1263">
        <f t="shared" si="171"/>
        <v>0.21000000000000019</v>
      </c>
      <c r="I1263">
        <f t="shared" si="172"/>
        <v>0.21000000000000019</v>
      </c>
      <c r="K1263" s="44">
        <f>Beta!$D1188</f>
        <v>0</v>
      </c>
    </row>
    <row r="1264" spans="1:16" x14ac:dyDescent="0.25">
      <c r="D1264">
        <v>23</v>
      </c>
      <c r="E1264" s="94">
        <f t="shared" si="173"/>
        <v>0.36600000000000005</v>
      </c>
      <c r="F1264">
        <f t="shared" si="169"/>
        <v>3.3333333333333335</v>
      </c>
      <c r="G1264">
        <f t="shared" si="170"/>
        <v>3.3333333333333335</v>
      </c>
      <c r="H1264">
        <f t="shared" si="171"/>
        <v>0.2200000000000002</v>
      </c>
      <c r="I1264">
        <f t="shared" si="172"/>
        <v>0.2200000000000002</v>
      </c>
      <c r="K1264" s="44">
        <f>Beta!$D1189</f>
        <v>0</v>
      </c>
    </row>
    <row r="1265" spans="4:11" x14ac:dyDescent="0.25">
      <c r="D1265">
        <v>24</v>
      </c>
      <c r="E1265" s="94">
        <f t="shared" si="173"/>
        <v>0.36900000000000005</v>
      </c>
      <c r="F1265">
        <f t="shared" si="169"/>
        <v>3.3333333333333335</v>
      </c>
      <c r="G1265">
        <f t="shared" si="170"/>
        <v>3.3333333333333335</v>
      </c>
      <c r="H1265">
        <f t="shared" si="171"/>
        <v>0.2300000000000002</v>
      </c>
      <c r="I1265">
        <f t="shared" si="172"/>
        <v>0.2300000000000002</v>
      </c>
      <c r="K1265" s="44">
        <f>Beta!$D1190</f>
        <v>0</v>
      </c>
    </row>
    <row r="1266" spans="4:11" x14ac:dyDescent="0.25">
      <c r="D1266">
        <v>25</v>
      </c>
      <c r="E1266" s="94">
        <f t="shared" si="173"/>
        <v>0.37200000000000005</v>
      </c>
      <c r="F1266">
        <f t="shared" si="169"/>
        <v>3.3333333333333335</v>
      </c>
      <c r="G1266">
        <f t="shared" si="170"/>
        <v>3.3333333333333335</v>
      </c>
      <c r="H1266">
        <f t="shared" si="171"/>
        <v>0.24000000000000021</v>
      </c>
      <c r="I1266">
        <f t="shared" si="172"/>
        <v>0.24000000000000021</v>
      </c>
      <c r="K1266" s="44">
        <f>Beta!$D1191</f>
        <v>0</v>
      </c>
    </row>
    <row r="1267" spans="4:11" x14ac:dyDescent="0.25">
      <c r="D1267">
        <v>26</v>
      </c>
      <c r="E1267" s="94">
        <f t="shared" si="173"/>
        <v>0.37500000000000006</v>
      </c>
      <c r="F1267">
        <f t="shared" si="169"/>
        <v>3.3333333333333335</v>
      </c>
      <c r="G1267">
        <f t="shared" si="170"/>
        <v>3.3333333333333335</v>
      </c>
      <c r="H1267">
        <f t="shared" si="171"/>
        <v>0.25000000000000022</v>
      </c>
      <c r="I1267">
        <f t="shared" si="172"/>
        <v>0.25000000000000022</v>
      </c>
      <c r="K1267" s="44">
        <f>Beta!$D1192</f>
        <v>0</v>
      </c>
    </row>
    <row r="1268" spans="4:11" x14ac:dyDescent="0.25">
      <c r="D1268">
        <v>27</v>
      </c>
      <c r="E1268" s="94">
        <f t="shared" si="173"/>
        <v>0.37800000000000006</v>
      </c>
      <c r="F1268">
        <f t="shared" si="169"/>
        <v>3.3333333333333335</v>
      </c>
      <c r="G1268">
        <f t="shared" si="170"/>
        <v>3.3333333333333335</v>
      </c>
      <c r="H1268">
        <f t="shared" si="171"/>
        <v>0.26000000000000023</v>
      </c>
      <c r="I1268">
        <f t="shared" si="172"/>
        <v>0.26000000000000023</v>
      </c>
      <c r="K1268" s="44">
        <f>Beta!$D1193</f>
        <v>0</v>
      </c>
    </row>
    <row r="1269" spans="4:11" x14ac:dyDescent="0.25">
      <c r="D1269">
        <v>28</v>
      </c>
      <c r="E1269" s="94">
        <f t="shared" si="173"/>
        <v>0.38100000000000006</v>
      </c>
      <c r="F1269">
        <f t="shared" si="169"/>
        <v>3.3333333333333335</v>
      </c>
      <c r="G1269">
        <f t="shared" si="170"/>
        <v>3.3333333333333335</v>
      </c>
      <c r="H1269">
        <f t="shared" si="171"/>
        <v>0.27000000000000024</v>
      </c>
      <c r="I1269">
        <f t="shared" si="172"/>
        <v>0.27000000000000024</v>
      </c>
      <c r="K1269" s="44">
        <f>Beta!$D1194</f>
        <v>0</v>
      </c>
    </row>
    <row r="1270" spans="4:11" x14ac:dyDescent="0.25">
      <c r="D1270">
        <v>29</v>
      </c>
      <c r="E1270" s="94">
        <f t="shared" si="173"/>
        <v>0.38400000000000006</v>
      </c>
      <c r="F1270">
        <f t="shared" si="169"/>
        <v>3.3333333333333335</v>
      </c>
      <c r="G1270">
        <f t="shared" si="170"/>
        <v>3.3333333333333335</v>
      </c>
      <c r="H1270">
        <f t="shared" si="171"/>
        <v>0.28000000000000025</v>
      </c>
      <c r="I1270">
        <f t="shared" si="172"/>
        <v>0.28000000000000025</v>
      </c>
      <c r="K1270" s="44">
        <f>Beta!$D1195</f>
        <v>0</v>
      </c>
    </row>
    <row r="1271" spans="4:11" x14ac:dyDescent="0.25">
      <c r="D1271">
        <v>30</v>
      </c>
      <c r="E1271" s="94">
        <f t="shared" si="173"/>
        <v>0.38700000000000007</v>
      </c>
      <c r="F1271">
        <f t="shared" si="169"/>
        <v>3.3333333333333335</v>
      </c>
      <c r="G1271">
        <f t="shared" si="170"/>
        <v>3.3333333333333335</v>
      </c>
      <c r="H1271">
        <f t="shared" si="171"/>
        <v>0.29000000000000026</v>
      </c>
      <c r="I1271">
        <f t="shared" si="172"/>
        <v>0.29000000000000026</v>
      </c>
      <c r="K1271" s="44">
        <f>Beta!$D1196</f>
        <v>0</v>
      </c>
    </row>
    <row r="1272" spans="4:11" x14ac:dyDescent="0.25">
      <c r="D1272">
        <v>31</v>
      </c>
      <c r="E1272" s="94">
        <f t="shared" si="173"/>
        <v>0.39000000000000007</v>
      </c>
      <c r="F1272">
        <f t="shared" si="169"/>
        <v>3.3333333333333335</v>
      </c>
      <c r="G1272">
        <f t="shared" si="170"/>
        <v>3.3333333333333335</v>
      </c>
      <c r="H1272">
        <f t="shared" si="171"/>
        <v>0.30000000000000027</v>
      </c>
      <c r="I1272">
        <f t="shared" si="172"/>
        <v>0.30000000000000027</v>
      </c>
      <c r="K1272" s="44">
        <f>Beta!$D1197</f>
        <v>0</v>
      </c>
    </row>
    <row r="1273" spans="4:11" x14ac:dyDescent="0.25">
      <c r="D1273">
        <v>32</v>
      </c>
      <c r="E1273" s="94">
        <f t="shared" si="173"/>
        <v>0.39300000000000007</v>
      </c>
      <c r="F1273">
        <f t="shared" si="169"/>
        <v>3.3333333333333335</v>
      </c>
      <c r="G1273">
        <f t="shared" si="170"/>
        <v>3.3333333333333335</v>
      </c>
      <c r="H1273">
        <f t="shared" si="171"/>
        <v>0.31000000000000028</v>
      </c>
      <c r="I1273">
        <f t="shared" si="172"/>
        <v>0.31000000000000028</v>
      </c>
      <c r="K1273" s="44">
        <f>Beta!$D1198</f>
        <v>0</v>
      </c>
    </row>
    <row r="1274" spans="4:11" x14ac:dyDescent="0.25">
      <c r="D1274">
        <v>33</v>
      </c>
      <c r="E1274" s="94">
        <f t="shared" si="173"/>
        <v>0.39600000000000007</v>
      </c>
      <c r="F1274">
        <f t="shared" si="169"/>
        <v>3.3333333333333335</v>
      </c>
      <c r="G1274">
        <f t="shared" si="170"/>
        <v>3.3333333333333335</v>
      </c>
      <c r="H1274">
        <f t="shared" si="171"/>
        <v>0.32000000000000028</v>
      </c>
      <c r="I1274">
        <f t="shared" si="172"/>
        <v>0.32000000000000028</v>
      </c>
      <c r="K1274" s="44">
        <f>Beta!$D1199</f>
        <v>0</v>
      </c>
    </row>
    <row r="1275" spans="4:11" x14ac:dyDescent="0.25">
      <c r="D1275">
        <v>34</v>
      </c>
      <c r="E1275" s="94">
        <f t="shared" si="173"/>
        <v>0.39900000000000008</v>
      </c>
      <c r="F1275">
        <f t="shared" si="169"/>
        <v>3.3333333333333335</v>
      </c>
      <c r="G1275">
        <f t="shared" si="170"/>
        <v>3.3333333333333335</v>
      </c>
      <c r="H1275">
        <f t="shared" si="171"/>
        <v>0.33000000000000029</v>
      </c>
      <c r="I1275">
        <f t="shared" si="172"/>
        <v>0.33000000000000029</v>
      </c>
      <c r="K1275" s="44">
        <f>Beta!$D1200</f>
        <v>0</v>
      </c>
    </row>
    <row r="1276" spans="4:11" x14ac:dyDescent="0.25">
      <c r="D1276">
        <v>35</v>
      </c>
      <c r="E1276" s="94">
        <f t="shared" si="173"/>
        <v>0.40200000000000008</v>
      </c>
      <c r="F1276">
        <f t="shared" si="169"/>
        <v>3.3333333333333335</v>
      </c>
      <c r="G1276">
        <f t="shared" si="170"/>
        <v>3.3333333333333335</v>
      </c>
      <c r="H1276">
        <f t="shared" si="171"/>
        <v>0.3400000000000003</v>
      </c>
      <c r="I1276">
        <f t="shared" si="172"/>
        <v>0.3400000000000003</v>
      </c>
      <c r="K1276" s="44">
        <f>Beta!$D1201</f>
        <v>0</v>
      </c>
    </row>
    <row r="1277" spans="4:11" x14ac:dyDescent="0.25">
      <c r="D1277">
        <v>36</v>
      </c>
      <c r="E1277" s="94">
        <f t="shared" si="173"/>
        <v>0.40500000000000008</v>
      </c>
      <c r="F1277">
        <f t="shared" si="169"/>
        <v>3.3333333333333335</v>
      </c>
      <c r="G1277">
        <f t="shared" si="170"/>
        <v>3.3333333333333335</v>
      </c>
      <c r="H1277">
        <f t="shared" si="171"/>
        <v>0.35000000000000031</v>
      </c>
      <c r="I1277">
        <f t="shared" si="172"/>
        <v>0.35000000000000031</v>
      </c>
      <c r="K1277" s="44">
        <f>Beta!$D1202</f>
        <v>0</v>
      </c>
    </row>
    <row r="1278" spans="4:11" x14ac:dyDescent="0.25">
      <c r="D1278">
        <v>37</v>
      </c>
      <c r="E1278" s="94">
        <f t="shared" si="173"/>
        <v>0.40800000000000008</v>
      </c>
      <c r="F1278">
        <f t="shared" si="169"/>
        <v>3.3333333333333335</v>
      </c>
      <c r="G1278">
        <f t="shared" si="170"/>
        <v>3.3333333333333335</v>
      </c>
      <c r="H1278">
        <f t="shared" si="171"/>
        <v>0.36000000000000032</v>
      </c>
      <c r="I1278">
        <f t="shared" si="172"/>
        <v>0.36000000000000032</v>
      </c>
      <c r="K1278" s="44">
        <f>Beta!$D1203</f>
        <v>0</v>
      </c>
    </row>
    <row r="1279" spans="4:11" x14ac:dyDescent="0.25">
      <c r="D1279">
        <v>38</v>
      </c>
      <c r="E1279" s="94">
        <f t="shared" si="173"/>
        <v>0.41100000000000009</v>
      </c>
      <c r="F1279">
        <f t="shared" si="169"/>
        <v>3.3333333333333335</v>
      </c>
      <c r="G1279">
        <f t="shared" si="170"/>
        <v>3.3333333333333335</v>
      </c>
      <c r="H1279">
        <f t="shared" si="171"/>
        <v>0.37000000000000033</v>
      </c>
      <c r="I1279">
        <f t="shared" si="172"/>
        <v>0.37000000000000033</v>
      </c>
      <c r="K1279" s="44">
        <f>Beta!$D1204</f>
        <v>0</v>
      </c>
    </row>
    <row r="1280" spans="4:11" x14ac:dyDescent="0.25">
      <c r="D1280">
        <v>39</v>
      </c>
      <c r="E1280" s="94">
        <f t="shared" si="173"/>
        <v>0.41400000000000009</v>
      </c>
      <c r="F1280">
        <f t="shared" si="169"/>
        <v>3.3333333333333335</v>
      </c>
      <c r="G1280">
        <f t="shared" si="170"/>
        <v>3.3333333333333335</v>
      </c>
      <c r="H1280">
        <f t="shared" si="171"/>
        <v>0.38000000000000034</v>
      </c>
      <c r="I1280">
        <f t="shared" si="172"/>
        <v>0.38000000000000034</v>
      </c>
      <c r="K1280" s="44">
        <f>Beta!$D1205</f>
        <v>0</v>
      </c>
    </row>
    <row r="1281" spans="4:11" x14ac:dyDescent="0.25">
      <c r="D1281">
        <v>40</v>
      </c>
      <c r="E1281" s="94">
        <f t="shared" si="173"/>
        <v>0.41700000000000009</v>
      </c>
      <c r="F1281">
        <f t="shared" si="169"/>
        <v>3.3333333333333335</v>
      </c>
      <c r="G1281">
        <f t="shared" si="170"/>
        <v>3.3333333333333335</v>
      </c>
      <c r="H1281">
        <f t="shared" si="171"/>
        <v>0.39000000000000035</v>
      </c>
      <c r="I1281">
        <f t="shared" si="172"/>
        <v>0.39000000000000035</v>
      </c>
      <c r="K1281" s="44">
        <f>Beta!$D1206</f>
        <v>0</v>
      </c>
    </row>
    <row r="1282" spans="4:11" x14ac:dyDescent="0.25">
      <c r="D1282">
        <v>41</v>
      </c>
      <c r="E1282" s="94">
        <f t="shared" si="173"/>
        <v>0.4200000000000001</v>
      </c>
      <c r="F1282">
        <f t="shared" si="169"/>
        <v>3.3333333333333335</v>
      </c>
      <c r="G1282">
        <f t="shared" si="170"/>
        <v>3.3333333333333335</v>
      </c>
      <c r="H1282">
        <f t="shared" si="171"/>
        <v>0.40000000000000036</v>
      </c>
      <c r="I1282">
        <f t="shared" si="172"/>
        <v>0.40000000000000036</v>
      </c>
      <c r="K1282" s="44">
        <f>Beta!$D1207</f>
        <v>0</v>
      </c>
    </row>
    <row r="1283" spans="4:11" x14ac:dyDescent="0.25">
      <c r="D1283">
        <v>42</v>
      </c>
      <c r="E1283" s="94">
        <f t="shared" si="173"/>
        <v>0.4230000000000001</v>
      </c>
      <c r="F1283">
        <f t="shared" si="169"/>
        <v>3.3333333333333335</v>
      </c>
      <c r="G1283">
        <f t="shared" si="170"/>
        <v>3.3333333333333335</v>
      </c>
      <c r="H1283">
        <f t="shared" si="171"/>
        <v>0.41000000000000036</v>
      </c>
      <c r="I1283">
        <f t="shared" si="172"/>
        <v>0.41000000000000036</v>
      </c>
      <c r="K1283" s="44">
        <f>Beta!$D1208</f>
        <v>0</v>
      </c>
    </row>
    <row r="1284" spans="4:11" x14ac:dyDescent="0.25">
      <c r="D1284">
        <v>43</v>
      </c>
      <c r="E1284" s="94">
        <f t="shared" si="173"/>
        <v>0.4260000000000001</v>
      </c>
      <c r="F1284">
        <f t="shared" si="169"/>
        <v>3.3333333333333335</v>
      </c>
      <c r="G1284">
        <f t="shared" si="170"/>
        <v>3.3333333333333335</v>
      </c>
      <c r="H1284">
        <f t="shared" si="171"/>
        <v>0.42000000000000037</v>
      </c>
      <c r="I1284">
        <f t="shared" si="172"/>
        <v>0.42000000000000037</v>
      </c>
      <c r="K1284" s="44">
        <f>Beta!$D1209</f>
        <v>0</v>
      </c>
    </row>
    <row r="1285" spans="4:11" x14ac:dyDescent="0.25">
      <c r="D1285">
        <v>44</v>
      </c>
      <c r="E1285" s="94">
        <f t="shared" si="173"/>
        <v>0.4290000000000001</v>
      </c>
      <c r="F1285">
        <f t="shared" si="169"/>
        <v>3.3333333333333335</v>
      </c>
      <c r="G1285">
        <f t="shared" si="170"/>
        <v>3.3333333333333335</v>
      </c>
      <c r="H1285">
        <f t="shared" si="171"/>
        <v>0.43000000000000038</v>
      </c>
      <c r="I1285">
        <f t="shared" si="172"/>
        <v>0.43000000000000038</v>
      </c>
      <c r="K1285" s="44">
        <f>Beta!$D1210</f>
        <v>0</v>
      </c>
    </row>
    <row r="1286" spans="4:11" x14ac:dyDescent="0.25">
      <c r="D1286">
        <v>45</v>
      </c>
      <c r="E1286" s="94">
        <f t="shared" si="173"/>
        <v>0.43200000000000011</v>
      </c>
      <c r="F1286">
        <f t="shared" si="169"/>
        <v>3.3333333333333335</v>
      </c>
      <c r="G1286">
        <f t="shared" si="170"/>
        <v>3.3333333333333335</v>
      </c>
      <c r="H1286">
        <f t="shared" si="171"/>
        <v>0.44000000000000039</v>
      </c>
      <c r="I1286">
        <f t="shared" si="172"/>
        <v>0.44000000000000039</v>
      </c>
      <c r="K1286" s="44">
        <f>Beta!$D1211</f>
        <v>0</v>
      </c>
    </row>
    <row r="1287" spans="4:11" x14ac:dyDescent="0.25">
      <c r="D1287">
        <v>46</v>
      </c>
      <c r="E1287" s="94">
        <f t="shared" si="173"/>
        <v>0.43500000000000011</v>
      </c>
      <c r="F1287">
        <f t="shared" si="169"/>
        <v>3.3333333333333335</v>
      </c>
      <c r="G1287">
        <f t="shared" si="170"/>
        <v>3.3333333333333335</v>
      </c>
      <c r="H1287">
        <f t="shared" si="171"/>
        <v>0.4500000000000004</v>
      </c>
      <c r="I1287">
        <f t="shared" si="172"/>
        <v>0.4500000000000004</v>
      </c>
      <c r="K1287" s="44">
        <f>Beta!$D1212</f>
        <v>0</v>
      </c>
    </row>
    <row r="1288" spans="4:11" x14ac:dyDescent="0.25">
      <c r="D1288">
        <v>47</v>
      </c>
      <c r="E1288" s="94">
        <f t="shared" si="173"/>
        <v>0.43800000000000011</v>
      </c>
      <c r="F1288">
        <f t="shared" si="169"/>
        <v>3.3333333333333335</v>
      </c>
      <c r="G1288">
        <f t="shared" si="170"/>
        <v>3.3333333333333335</v>
      </c>
      <c r="H1288">
        <f t="shared" si="171"/>
        <v>0.46000000000000041</v>
      </c>
      <c r="I1288">
        <f t="shared" si="172"/>
        <v>0.46000000000000041</v>
      </c>
      <c r="K1288" s="44">
        <f>Beta!$D1213</f>
        <v>0</v>
      </c>
    </row>
    <row r="1289" spans="4:11" x14ac:dyDescent="0.25">
      <c r="D1289">
        <v>48</v>
      </c>
      <c r="E1289" s="94">
        <f t="shared" si="173"/>
        <v>0.44100000000000011</v>
      </c>
      <c r="F1289">
        <f t="shared" si="169"/>
        <v>3.3333333333333335</v>
      </c>
      <c r="G1289">
        <f t="shared" si="170"/>
        <v>3.3333333333333335</v>
      </c>
      <c r="H1289">
        <f t="shared" si="171"/>
        <v>0.47000000000000042</v>
      </c>
      <c r="I1289">
        <f t="shared" si="172"/>
        <v>0.47000000000000042</v>
      </c>
      <c r="K1289" s="44">
        <f>Beta!$D1214</f>
        <v>0</v>
      </c>
    </row>
    <row r="1290" spans="4:11" x14ac:dyDescent="0.25">
      <c r="D1290">
        <v>49</v>
      </c>
      <c r="E1290" s="94">
        <f t="shared" si="173"/>
        <v>0.44400000000000012</v>
      </c>
      <c r="F1290">
        <f t="shared" si="169"/>
        <v>3.3333333333333335</v>
      </c>
      <c r="G1290">
        <f t="shared" si="170"/>
        <v>3.3333333333333335</v>
      </c>
      <c r="H1290">
        <f t="shared" si="171"/>
        <v>0.48000000000000043</v>
      </c>
      <c r="I1290">
        <f t="shared" si="172"/>
        <v>0.48000000000000043</v>
      </c>
      <c r="K1290" s="44">
        <f>Beta!$D1215</f>
        <v>0</v>
      </c>
    </row>
    <row r="1291" spans="4:11" x14ac:dyDescent="0.25">
      <c r="D1291">
        <v>50</v>
      </c>
      <c r="E1291" s="94">
        <f t="shared" si="173"/>
        <v>0.44700000000000012</v>
      </c>
      <c r="F1291">
        <f t="shared" si="169"/>
        <v>3.3333333333333335</v>
      </c>
      <c r="G1291">
        <f t="shared" si="170"/>
        <v>3.3333333333333335</v>
      </c>
      <c r="H1291">
        <f t="shared" si="171"/>
        <v>0.49000000000000044</v>
      </c>
      <c r="I1291">
        <f t="shared" si="172"/>
        <v>0.49000000000000044</v>
      </c>
      <c r="K1291" s="44">
        <f>Beta!$D1216</f>
        <v>0</v>
      </c>
    </row>
    <row r="1292" spans="4:11" x14ac:dyDescent="0.25">
      <c r="D1292">
        <v>51</v>
      </c>
      <c r="E1292" s="94">
        <f t="shared" si="173"/>
        <v>0.45000000000000012</v>
      </c>
      <c r="F1292">
        <f t="shared" si="169"/>
        <v>3.3333333333333335</v>
      </c>
      <c r="G1292">
        <f t="shared" si="170"/>
        <v>3.3333333333333335</v>
      </c>
      <c r="H1292">
        <f t="shared" si="171"/>
        <v>0.50000000000000044</v>
      </c>
      <c r="I1292">
        <f t="shared" si="172"/>
        <v>0.50000000000000044</v>
      </c>
      <c r="K1292" s="44">
        <f>Beta!$D1217</f>
        <v>0</v>
      </c>
    </row>
    <row r="1293" spans="4:11" x14ac:dyDescent="0.25">
      <c r="D1293">
        <v>52</v>
      </c>
      <c r="E1293" s="94">
        <f t="shared" si="173"/>
        <v>0.45300000000000012</v>
      </c>
      <c r="F1293">
        <f t="shared" si="169"/>
        <v>3.3333333333333335</v>
      </c>
      <c r="G1293">
        <f t="shared" si="170"/>
        <v>3.3333333333333335</v>
      </c>
      <c r="H1293">
        <f t="shared" si="171"/>
        <v>0.51000000000000045</v>
      </c>
      <c r="I1293">
        <f t="shared" si="172"/>
        <v>0.51000000000000045</v>
      </c>
      <c r="K1293" s="44">
        <f>Beta!$D1218</f>
        <v>0</v>
      </c>
    </row>
    <row r="1294" spans="4:11" x14ac:dyDescent="0.25">
      <c r="D1294">
        <v>53</v>
      </c>
      <c r="E1294" s="94">
        <f t="shared" si="173"/>
        <v>0.45600000000000013</v>
      </c>
      <c r="F1294">
        <f t="shared" si="169"/>
        <v>3.3333333333333335</v>
      </c>
      <c r="G1294">
        <f t="shared" si="170"/>
        <v>3.3333333333333335</v>
      </c>
      <c r="H1294">
        <f t="shared" si="171"/>
        <v>0.52000000000000046</v>
      </c>
      <c r="I1294">
        <f t="shared" si="172"/>
        <v>0.52000000000000046</v>
      </c>
      <c r="K1294" s="44">
        <f>Beta!$D1219</f>
        <v>0</v>
      </c>
    </row>
    <row r="1295" spans="4:11" x14ac:dyDescent="0.25">
      <c r="D1295">
        <v>54</v>
      </c>
      <c r="E1295" s="94">
        <f t="shared" si="173"/>
        <v>0.45900000000000013</v>
      </c>
      <c r="F1295">
        <f t="shared" si="169"/>
        <v>3.3333333333333335</v>
      </c>
      <c r="G1295">
        <f t="shared" si="170"/>
        <v>3.3333333333333335</v>
      </c>
      <c r="H1295">
        <f t="shared" si="171"/>
        <v>0.53000000000000047</v>
      </c>
      <c r="I1295">
        <f t="shared" si="172"/>
        <v>0.53000000000000047</v>
      </c>
      <c r="K1295" s="44">
        <f>Beta!$D1220</f>
        <v>0</v>
      </c>
    </row>
    <row r="1296" spans="4:11" x14ac:dyDescent="0.25">
      <c r="D1296">
        <v>55</v>
      </c>
      <c r="E1296" s="94">
        <f t="shared" si="173"/>
        <v>0.46200000000000013</v>
      </c>
      <c r="F1296">
        <f t="shared" si="169"/>
        <v>3.3333333333333335</v>
      </c>
      <c r="G1296">
        <f t="shared" si="170"/>
        <v>3.3333333333333335</v>
      </c>
      <c r="H1296">
        <f t="shared" si="171"/>
        <v>0.54000000000000048</v>
      </c>
      <c r="I1296">
        <f t="shared" si="172"/>
        <v>0.54000000000000048</v>
      </c>
      <c r="K1296" s="44">
        <f>Beta!$D1221</f>
        <v>0</v>
      </c>
    </row>
    <row r="1297" spans="4:11" x14ac:dyDescent="0.25">
      <c r="D1297">
        <v>56</v>
      </c>
      <c r="E1297" s="94">
        <f t="shared" si="173"/>
        <v>0.46500000000000014</v>
      </c>
      <c r="F1297">
        <f t="shared" si="169"/>
        <v>3.3333333333333335</v>
      </c>
      <c r="G1297">
        <f t="shared" si="170"/>
        <v>3.3333333333333335</v>
      </c>
      <c r="H1297">
        <f t="shared" si="171"/>
        <v>0.55000000000000049</v>
      </c>
      <c r="I1297">
        <f t="shared" si="172"/>
        <v>0.55000000000000049</v>
      </c>
      <c r="K1297" s="44">
        <f>Beta!$D1222</f>
        <v>0</v>
      </c>
    </row>
    <row r="1298" spans="4:11" x14ac:dyDescent="0.25">
      <c r="D1298">
        <v>57</v>
      </c>
      <c r="E1298" s="94">
        <f t="shared" si="173"/>
        <v>0.46800000000000014</v>
      </c>
      <c r="F1298">
        <f t="shared" si="169"/>
        <v>3.3333333333333335</v>
      </c>
      <c r="G1298">
        <f t="shared" si="170"/>
        <v>3.3333333333333335</v>
      </c>
      <c r="H1298">
        <f t="shared" si="171"/>
        <v>0.5600000000000005</v>
      </c>
      <c r="I1298">
        <f t="shared" si="172"/>
        <v>0.5600000000000005</v>
      </c>
      <c r="K1298" s="44">
        <f>Beta!$D1223</f>
        <v>0</v>
      </c>
    </row>
    <row r="1299" spans="4:11" x14ac:dyDescent="0.25">
      <c r="D1299">
        <v>58</v>
      </c>
      <c r="E1299" s="94">
        <f t="shared" si="173"/>
        <v>0.47100000000000014</v>
      </c>
      <c r="F1299">
        <f t="shared" si="169"/>
        <v>3.3333333333333335</v>
      </c>
      <c r="G1299">
        <f t="shared" si="170"/>
        <v>3.3333333333333335</v>
      </c>
      <c r="H1299">
        <f t="shared" si="171"/>
        <v>0.57000000000000051</v>
      </c>
      <c r="I1299">
        <f t="shared" si="172"/>
        <v>0.57000000000000051</v>
      </c>
      <c r="K1299" s="44">
        <f>Beta!$D1224</f>
        <v>0</v>
      </c>
    </row>
    <row r="1300" spans="4:11" x14ac:dyDescent="0.25">
      <c r="D1300">
        <v>59</v>
      </c>
      <c r="E1300" s="94">
        <f t="shared" si="173"/>
        <v>0.47400000000000014</v>
      </c>
      <c r="F1300">
        <f t="shared" si="169"/>
        <v>3.3333333333333335</v>
      </c>
      <c r="G1300">
        <f t="shared" si="170"/>
        <v>3.3333333333333335</v>
      </c>
      <c r="H1300">
        <f t="shared" si="171"/>
        <v>0.58000000000000052</v>
      </c>
      <c r="I1300">
        <f t="shared" si="172"/>
        <v>0.58000000000000052</v>
      </c>
      <c r="K1300" s="44">
        <f>Beta!$D1225</f>
        <v>0</v>
      </c>
    </row>
    <row r="1301" spans="4:11" x14ac:dyDescent="0.25">
      <c r="D1301">
        <v>60</v>
      </c>
      <c r="E1301" s="94">
        <f t="shared" si="173"/>
        <v>0.47700000000000015</v>
      </c>
      <c r="F1301">
        <f t="shared" si="169"/>
        <v>3.3333333333333335</v>
      </c>
      <c r="G1301">
        <f t="shared" si="170"/>
        <v>3.3333333333333335</v>
      </c>
      <c r="H1301">
        <f t="shared" si="171"/>
        <v>0.59000000000000052</v>
      </c>
      <c r="I1301">
        <f t="shared" si="172"/>
        <v>0.59000000000000052</v>
      </c>
      <c r="K1301" s="44">
        <f>Beta!$D1226</f>
        <v>0</v>
      </c>
    </row>
    <row r="1302" spans="4:11" x14ac:dyDescent="0.25">
      <c r="D1302">
        <v>61</v>
      </c>
      <c r="E1302" s="94">
        <f t="shared" si="173"/>
        <v>0.48000000000000015</v>
      </c>
      <c r="F1302">
        <f t="shared" si="169"/>
        <v>3.3333333333333335</v>
      </c>
      <c r="G1302">
        <f t="shared" si="170"/>
        <v>3.3333333333333335</v>
      </c>
      <c r="H1302">
        <f t="shared" si="171"/>
        <v>0.60000000000000053</v>
      </c>
      <c r="I1302">
        <f t="shared" si="172"/>
        <v>0.60000000000000053</v>
      </c>
      <c r="K1302" s="44">
        <f>Beta!$D1227</f>
        <v>0</v>
      </c>
    </row>
    <row r="1303" spans="4:11" x14ac:dyDescent="0.25">
      <c r="D1303">
        <v>62</v>
      </c>
      <c r="E1303" s="94">
        <f t="shared" si="173"/>
        <v>0.48300000000000015</v>
      </c>
      <c r="F1303">
        <f t="shared" si="169"/>
        <v>3.3333333333333335</v>
      </c>
      <c r="G1303">
        <f t="shared" si="170"/>
        <v>3.3333333333333335</v>
      </c>
      <c r="H1303">
        <f t="shared" si="171"/>
        <v>0.61000000000000054</v>
      </c>
      <c r="I1303">
        <f t="shared" si="172"/>
        <v>0.61000000000000054</v>
      </c>
      <c r="K1303" s="44">
        <f>Beta!$D1228</f>
        <v>0</v>
      </c>
    </row>
    <row r="1304" spans="4:11" x14ac:dyDescent="0.25">
      <c r="D1304">
        <v>63</v>
      </c>
      <c r="E1304" s="94">
        <f t="shared" si="173"/>
        <v>0.48600000000000015</v>
      </c>
      <c r="F1304">
        <f t="shared" si="169"/>
        <v>3.3333333333333335</v>
      </c>
      <c r="G1304">
        <f t="shared" si="170"/>
        <v>3.3333333333333335</v>
      </c>
      <c r="H1304">
        <f t="shared" si="171"/>
        <v>0.62000000000000055</v>
      </c>
      <c r="I1304">
        <f t="shared" si="172"/>
        <v>0.62000000000000055</v>
      </c>
      <c r="K1304" s="44">
        <f>Beta!$D1229</f>
        <v>0</v>
      </c>
    </row>
    <row r="1305" spans="4:11" x14ac:dyDescent="0.25">
      <c r="D1305">
        <v>64</v>
      </c>
      <c r="E1305" s="94">
        <f t="shared" si="173"/>
        <v>0.48900000000000016</v>
      </c>
      <c r="F1305">
        <f t="shared" si="169"/>
        <v>3.3333333333333335</v>
      </c>
      <c r="G1305">
        <f t="shared" si="170"/>
        <v>3.3333333333333335</v>
      </c>
      <c r="H1305">
        <f t="shared" si="171"/>
        <v>0.63000000000000056</v>
      </c>
      <c r="I1305">
        <f t="shared" si="172"/>
        <v>0.63000000000000056</v>
      </c>
      <c r="K1305" s="44">
        <f>Beta!$D1230</f>
        <v>0</v>
      </c>
    </row>
    <row r="1306" spans="4:11" x14ac:dyDescent="0.25">
      <c r="D1306">
        <v>65</v>
      </c>
      <c r="E1306" s="94">
        <f t="shared" si="173"/>
        <v>0.49200000000000016</v>
      </c>
      <c r="F1306">
        <f t="shared" si="169"/>
        <v>3.3333333333333335</v>
      </c>
      <c r="G1306">
        <f t="shared" si="170"/>
        <v>3.3333333333333335</v>
      </c>
      <c r="H1306">
        <f t="shared" si="171"/>
        <v>0.64000000000000057</v>
      </c>
      <c r="I1306">
        <f t="shared" si="172"/>
        <v>0.64000000000000057</v>
      </c>
      <c r="K1306" s="44">
        <f>Beta!$D1231</f>
        <v>0</v>
      </c>
    </row>
    <row r="1307" spans="4:11" x14ac:dyDescent="0.25">
      <c r="D1307">
        <v>66</v>
      </c>
      <c r="E1307" s="94">
        <f t="shared" si="173"/>
        <v>0.49500000000000016</v>
      </c>
      <c r="F1307">
        <f t="shared" ref="F1307:F1340" si="177">1/($B$1249-$B$1248)</f>
        <v>3.3333333333333335</v>
      </c>
      <c r="G1307">
        <f t="shared" ref="G1307:G1341" si="178">IF(OR($E1307&gt;$B$1245,$E1307&lt;$B$1244),NA(),$F1307)</f>
        <v>3.3333333333333335</v>
      </c>
      <c r="H1307">
        <f t="shared" ref="H1307:H1341" si="179">($E1307-$B$1248)/($B$1249-$B$1248)</f>
        <v>0.65000000000000058</v>
      </c>
      <c r="I1307">
        <f t="shared" ref="I1307:I1341" si="180">IF(OR($E1307&gt;$B$1245,$E1307&lt;$B$1244),NA(),$H1307)</f>
        <v>0.65000000000000058</v>
      </c>
      <c r="K1307" s="44">
        <f>Beta!$D1232</f>
        <v>0</v>
      </c>
    </row>
    <row r="1308" spans="4:11" x14ac:dyDescent="0.25">
      <c r="D1308">
        <v>67</v>
      </c>
      <c r="E1308" s="94">
        <f t="shared" ref="E1308:E1341" si="181">E1307+$B$1252</f>
        <v>0.49800000000000016</v>
      </c>
      <c r="F1308">
        <f t="shared" si="177"/>
        <v>3.3333333333333335</v>
      </c>
      <c r="G1308">
        <f t="shared" si="178"/>
        <v>3.3333333333333335</v>
      </c>
      <c r="H1308">
        <f t="shared" si="179"/>
        <v>0.66000000000000059</v>
      </c>
      <c r="I1308">
        <f t="shared" si="180"/>
        <v>0.66000000000000059</v>
      </c>
      <c r="K1308" s="44">
        <f>Beta!$D1233</f>
        <v>0</v>
      </c>
    </row>
    <row r="1309" spans="4:11" x14ac:dyDescent="0.25">
      <c r="D1309">
        <v>68</v>
      </c>
      <c r="E1309" s="94">
        <f t="shared" si="181"/>
        <v>0.50100000000000011</v>
      </c>
      <c r="F1309">
        <f t="shared" si="177"/>
        <v>3.3333333333333335</v>
      </c>
      <c r="G1309" t="e">
        <f t="shared" si="178"/>
        <v>#N/A</v>
      </c>
      <c r="H1309">
        <f t="shared" si="179"/>
        <v>0.67000000000000048</v>
      </c>
      <c r="I1309" t="e">
        <f t="shared" si="180"/>
        <v>#N/A</v>
      </c>
      <c r="K1309" s="44">
        <f>Beta!$D1234</f>
        <v>0</v>
      </c>
    </row>
    <row r="1310" spans="4:11" x14ac:dyDescent="0.25">
      <c r="D1310">
        <v>69</v>
      </c>
      <c r="E1310" s="94">
        <f t="shared" si="181"/>
        <v>0.50400000000000011</v>
      </c>
      <c r="F1310">
        <f t="shared" si="177"/>
        <v>3.3333333333333335</v>
      </c>
      <c r="G1310" t="e">
        <f t="shared" si="178"/>
        <v>#N/A</v>
      </c>
      <c r="H1310">
        <f t="shared" si="179"/>
        <v>0.68000000000000049</v>
      </c>
      <c r="I1310" t="e">
        <f t="shared" si="180"/>
        <v>#N/A</v>
      </c>
      <c r="K1310" s="44">
        <f>Beta!$D1235</f>
        <v>0</v>
      </c>
    </row>
    <row r="1311" spans="4:11" x14ac:dyDescent="0.25">
      <c r="D1311">
        <v>70</v>
      </c>
      <c r="E1311" s="94">
        <f t="shared" si="181"/>
        <v>0.50700000000000012</v>
      </c>
      <c r="F1311">
        <f t="shared" si="177"/>
        <v>3.3333333333333335</v>
      </c>
      <c r="G1311" t="e">
        <f t="shared" si="178"/>
        <v>#N/A</v>
      </c>
      <c r="H1311">
        <f t="shared" si="179"/>
        <v>0.6900000000000005</v>
      </c>
      <c r="I1311" t="e">
        <f t="shared" si="180"/>
        <v>#N/A</v>
      </c>
      <c r="K1311" s="44">
        <f>Beta!$D1236</f>
        <v>0</v>
      </c>
    </row>
    <row r="1312" spans="4:11" x14ac:dyDescent="0.25">
      <c r="D1312">
        <v>71</v>
      </c>
      <c r="E1312" s="94">
        <f t="shared" si="181"/>
        <v>0.51000000000000012</v>
      </c>
      <c r="F1312">
        <f t="shared" si="177"/>
        <v>3.3333333333333335</v>
      </c>
      <c r="G1312" t="e">
        <f t="shared" si="178"/>
        <v>#N/A</v>
      </c>
      <c r="H1312">
        <f t="shared" si="179"/>
        <v>0.70000000000000051</v>
      </c>
      <c r="I1312" t="e">
        <f t="shared" si="180"/>
        <v>#N/A</v>
      </c>
      <c r="K1312" s="44">
        <f>Beta!$D1237</f>
        <v>0</v>
      </c>
    </row>
    <row r="1313" spans="4:11" x14ac:dyDescent="0.25">
      <c r="D1313">
        <v>72</v>
      </c>
      <c r="E1313" s="94">
        <f t="shared" si="181"/>
        <v>0.51300000000000012</v>
      </c>
      <c r="F1313">
        <f t="shared" si="177"/>
        <v>3.3333333333333335</v>
      </c>
      <c r="G1313" t="e">
        <f t="shared" si="178"/>
        <v>#N/A</v>
      </c>
      <c r="H1313">
        <f t="shared" si="179"/>
        <v>0.71000000000000052</v>
      </c>
      <c r="I1313" t="e">
        <f t="shared" si="180"/>
        <v>#N/A</v>
      </c>
      <c r="K1313" s="44">
        <f>Beta!$D1238</f>
        <v>0</v>
      </c>
    </row>
    <row r="1314" spans="4:11" x14ac:dyDescent="0.25">
      <c r="D1314">
        <v>73</v>
      </c>
      <c r="E1314" s="94">
        <f t="shared" si="181"/>
        <v>0.51600000000000013</v>
      </c>
      <c r="F1314">
        <f t="shared" si="177"/>
        <v>3.3333333333333335</v>
      </c>
      <c r="G1314" t="e">
        <f t="shared" si="178"/>
        <v>#N/A</v>
      </c>
      <c r="H1314">
        <f t="shared" si="179"/>
        <v>0.72000000000000053</v>
      </c>
      <c r="I1314" t="e">
        <f t="shared" si="180"/>
        <v>#N/A</v>
      </c>
      <c r="K1314" s="44">
        <f>Beta!$D1239</f>
        <v>0</v>
      </c>
    </row>
    <row r="1315" spans="4:11" x14ac:dyDescent="0.25">
      <c r="D1315">
        <v>74</v>
      </c>
      <c r="E1315" s="94">
        <f t="shared" si="181"/>
        <v>0.51900000000000013</v>
      </c>
      <c r="F1315">
        <f t="shared" si="177"/>
        <v>3.3333333333333335</v>
      </c>
      <c r="G1315" t="e">
        <f t="shared" si="178"/>
        <v>#N/A</v>
      </c>
      <c r="H1315">
        <f t="shared" si="179"/>
        <v>0.73000000000000054</v>
      </c>
      <c r="I1315" t="e">
        <f t="shared" si="180"/>
        <v>#N/A</v>
      </c>
      <c r="K1315" s="44">
        <f>Beta!$D1240</f>
        <v>0</v>
      </c>
    </row>
    <row r="1316" spans="4:11" x14ac:dyDescent="0.25">
      <c r="D1316">
        <v>75</v>
      </c>
      <c r="E1316" s="94">
        <f t="shared" si="181"/>
        <v>0.52200000000000013</v>
      </c>
      <c r="F1316">
        <f t="shared" si="177"/>
        <v>3.3333333333333335</v>
      </c>
      <c r="G1316" t="e">
        <f t="shared" si="178"/>
        <v>#N/A</v>
      </c>
      <c r="H1316">
        <f t="shared" si="179"/>
        <v>0.74000000000000055</v>
      </c>
      <c r="I1316" t="e">
        <f t="shared" si="180"/>
        <v>#N/A</v>
      </c>
      <c r="K1316" s="44">
        <f>Beta!$D1241</f>
        <v>0</v>
      </c>
    </row>
    <row r="1317" spans="4:11" x14ac:dyDescent="0.25">
      <c r="D1317">
        <v>76</v>
      </c>
      <c r="E1317" s="94">
        <f t="shared" si="181"/>
        <v>0.52500000000000013</v>
      </c>
      <c r="F1317">
        <f t="shared" si="177"/>
        <v>3.3333333333333335</v>
      </c>
      <c r="G1317" t="e">
        <f t="shared" si="178"/>
        <v>#N/A</v>
      </c>
      <c r="H1317">
        <f t="shared" si="179"/>
        <v>0.75000000000000056</v>
      </c>
      <c r="I1317" t="e">
        <f t="shared" si="180"/>
        <v>#N/A</v>
      </c>
      <c r="K1317" s="44">
        <f>Beta!$D1242</f>
        <v>0</v>
      </c>
    </row>
    <row r="1318" spans="4:11" x14ac:dyDescent="0.25">
      <c r="D1318">
        <v>77</v>
      </c>
      <c r="E1318" s="94">
        <f t="shared" si="181"/>
        <v>0.52800000000000014</v>
      </c>
      <c r="F1318">
        <f t="shared" si="177"/>
        <v>3.3333333333333335</v>
      </c>
      <c r="G1318" t="e">
        <f t="shared" si="178"/>
        <v>#N/A</v>
      </c>
      <c r="H1318">
        <f t="shared" si="179"/>
        <v>0.76000000000000056</v>
      </c>
      <c r="I1318" t="e">
        <f t="shared" si="180"/>
        <v>#N/A</v>
      </c>
      <c r="K1318" s="44">
        <f>Beta!$D1243</f>
        <v>0</v>
      </c>
    </row>
    <row r="1319" spans="4:11" x14ac:dyDescent="0.25">
      <c r="D1319">
        <v>78</v>
      </c>
      <c r="E1319" s="94">
        <f t="shared" si="181"/>
        <v>0.53100000000000014</v>
      </c>
      <c r="F1319">
        <f t="shared" si="177"/>
        <v>3.3333333333333335</v>
      </c>
      <c r="G1319" t="e">
        <f t="shared" si="178"/>
        <v>#N/A</v>
      </c>
      <c r="H1319">
        <f t="shared" si="179"/>
        <v>0.77000000000000057</v>
      </c>
      <c r="I1319" t="e">
        <f t="shared" si="180"/>
        <v>#N/A</v>
      </c>
      <c r="K1319" s="44">
        <f>Beta!$D1244</f>
        <v>0</v>
      </c>
    </row>
    <row r="1320" spans="4:11" x14ac:dyDescent="0.25">
      <c r="D1320">
        <v>79</v>
      </c>
      <c r="E1320" s="94">
        <f t="shared" si="181"/>
        <v>0.53400000000000014</v>
      </c>
      <c r="F1320">
        <f t="shared" si="177"/>
        <v>3.3333333333333335</v>
      </c>
      <c r="G1320" t="e">
        <f t="shared" si="178"/>
        <v>#N/A</v>
      </c>
      <c r="H1320">
        <f t="shared" si="179"/>
        <v>0.78000000000000058</v>
      </c>
      <c r="I1320" t="e">
        <f t="shared" si="180"/>
        <v>#N/A</v>
      </c>
      <c r="K1320" s="44">
        <f>Beta!$D1245</f>
        <v>0</v>
      </c>
    </row>
    <row r="1321" spans="4:11" x14ac:dyDescent="0.25">
      <c r="D1321">
        <v>80</v>
      </c>
      <c r="E1321" s="94">
        <f t="shared" si="181"/>
        <v>0.53700000000000014</v>
      </c>
      <c r="F1321">
        <f t="shared" si="177"/>
        <v>3.3333333333333335</v>
      </c>
      <c r="G1321" t="e">
        <f t="shared" si="178"/>
        <v>#N/A</v>
      </c>
      <c r="H1321">
        <f t="shared" si="179"/>
        <v>0.79000000000000059</v>
      </c>
      <c r="I1321" t="e">
        <f t="shared" si="180"/>
        <v>#N/A</v>
      </c>
      <c r="K1321" s="44">
        <f>Beta!$D1246</f>
        <v>0</v>
      </c>
    </row>
    <row r="1322" spans="4:11" x14ac:dyDescent="0.25">
      <c r="D1322">
        <v>81</v>
      </c>
      <c r="E1322" s="94">
        <f t="shared" si="181"/>
        <v>0.54000000000000015</v>
      </c>
      <c r="F1322">
        <f t="shared" si="177"/>
        <v>3.3333333333333335</v>
      </c>
      <c r="G1322" t="e">
        <f t="shared" si="178"/>
        <v>#N/A</v>
      </c>
      <c r="H1322">
        <f t="shared" si="179"/>
        <v>0.8000000000000006</v>
      </c>
      <c r="I1322" t="e">
        <f t="shared" si="180"/>
        <v>#N/A</v>
      </c>
      <c r="K1322" s="44">
        <f>Beta!$D1247</f>
        <v>0</v>
      </c>
    </row>
    <row r="1323" spans="4:11" x14ac:dyDescent="0.25">
      <c r="D1323">
        <v>82</v>
      </c>
      <c r="E1323" s="94">
        <f t="shared" si="181"/>
        <v>0.54300000000000015</v>
      </c>
      <c r="F1323">
        <f t="shared" si="177"/>
        <v>3.3333333333333335</v>
      </c>
      <c r="G1323" t="e">
        <f t="shared" si="178"/>
        <v>#N/A</v>
      </c>
      <c r="H1323">
        <f t="shared" si="179"/>
        <v>0.81000000000000061</v>
      </c>
      <c r="I1323" t="e">
        <f t="shared" si="180"/>
        <v>#N/A</v>
      </c>
      <c r="K1323" s="44">
        <f>Beta!$D1248</f>
        <v>0</v>
      </c>
    </row>
    <row r="1324" spans="4:11" x14ac:dyDescent="0.25">
      <c r="D1324">
        <v>83</v>
      </c>
      <c r="E1324" s="94">
        <f t="shared" si="181"/>
        <v>0.54600000000000015</v>
      </c>
      <c r="F1324">
        <f t="shared" si="177"/>
        <v>3.3333333333333335</v>
      </c>
      <c r="G1324" t="e">
        <f t="shared" si="178"/>
        <v>#N/A</v>
      </c>
      <c r="H1324">
        <f t="shared" si="179"/>
        <v>0.82000000000000062</v>
      </c>
      <c r="I1324" t="e">
        <f t="shared" si="180"/>
        <v>#N/A</v>
      </c>
      <c r="K1324" s="44">
        <f>Beta!$D1249</f>
        <v>0</v>
      </c>
    </row>
    <row r="1325" spans="4:11" x14ac:dyDescent="0.25">
      <c r="D1325">
        <v>84</v>
      </c>
      <c r="E1325" s="94">
        <f t="shared" si="181"/>
        <v>0.54900000000000015</v>
      </c>
      <c r="F1325">
        <f t="shared" si="177"/>
        <v>3.3333333333333335</v>
      </c>
      <c r="G1325" t="e">
        <f t="shared" si="178"/>
        <v>#N/A</v>
      </c>
      <c r="H1325">
        <f t="shared" si="179"/>
        <v>0.83000000000000063</v>
      </c>
      <c r="I1325" t="e">
        <f t="shared" si="180"/>
        <v>#N/A</v>
      </c>
      <c r="K1325" s="44">
        <f>Beta!$D1250</f>
        <v>0</v>
      </c>
    </row>
    <row r="1326" spans="4:11" x14ac:dyDescent="0.25">
      <c r="D1326">
        <v>85</v>
      </c>
      <c r="E1326" s="94">
        <f t="shared" si="181"/>
        <v>0.55200000000000016</v>
      </c>
      <c r="F1326">
        <f t="shared" si="177"/>
        <v>3.3333333333333335</v>
      </c>
      <c r="G1326" t="e">
        <f t="shared" si="178"/>
        <v>#N/A</v>
      </c>
      <c r="H1326">
        <f t="shared" si="179"/>
        <v>0.84000000000000064</v>
      </c>
      <c r="I1326" t="e">
        <f t="shared" si="180"/>
        <v>#N/A</v>
      </c>
      <c r="K1326" s="44">
        <f>Beta!$D1251</f>
        <v>0</v>
      </c>
    </row>
    <row r="1327" spans="4:11" x14ac:dyDescent="0.25">
      <c r="D1327">
        <v>86</v>
      </c>
      <c r="E1327" s="94">
        <f t="shared" si="181"/>
        <v>0.55500000000000016</v>
      </c>
      <c r="F1327">
        <f t="shared" si="177"/>
        <v>3.3333333333333335</v>
      </c>
      <c r="G1327" t="e">
        <f t="shared" si="178"/>
        <v>#N/A</v>
      </c>
      <c r="H1327">
        <f t="shared" si="179"/>
        <v>0.85000000000000064</v>
      </c>
      <c r="I1327" t="e">
        <f t="shared" si="180"/>
        <v>#N/A</v>
      </c>
      <c r="K1327" s="44">
        <f>Beta!$D1252</f>
        <v>0</v>
      </c>
    </row>
    <row r="1328" spans="4:11" x14ac:dyDescent="0.25">
      <c r="D1328">
        <v>87</v>
      </c>
      <c r="E1328" s="94">
        <f t="shared" si="181"/>
        <v>0.55800000000000016</v>
      </c>
      <c r="F1328">
        <f t="shared" si="177"/>
        <v>3.3333333333333335</v>
      </c>
      <c r="G1328" t="e">
        <f t="shared" si="178"/>
        <v>#N/A</v>
      </c>
      <c r="H1328">
        <f t="shared" si="179"/>
        <v>0.86000000000000065</v>
      </c>
      <c r="I1328" t="e">
        <f t="shared" si="180"/>
        <v>#N/A</v>
      </c>
      <c r="K1328" s="44">
        <f>Beta!$D1253</f>
        <v>0</v>
      </c>
    </row>
    <row r="1329" spans="4:11" x14ac:dyDescent="0.25">
      <c r="D1329">
        <v>88</v>
      </c>
      <c r="E1329" s="94">
        <f t="shared" si="181"/>
        <v>0.56100000000000017</v>
      </c>
      <c r="F1329">
        <f t="shared" si="177"/>
        <v>3.3333333333333335</v>
      </c>
      <c r="G1329" t="e">
        <f t="shared" si="178"/>
        <v>#N/A</v>
      </c>
      <c r="H1329">
        <f t="shared" si="179"/>
        <v>0.87000000000000066</v>
      </c>
      <c r="I1329" t="e">
        <f t="shared" si="180"/>
        <v>#N/A</v>
      </c>
      <c r="K1329" s="44">
        <f>Beta!$D1254</f>
        <v>0</v>
      </c>
    </row>
    <row r="1330" spans="4:11" x14ac:dyDescent="0.25">
      <c r="D1330">
        <v>89</v>
      </c>
      <c r="E1330" s="94">
        <f t="shared" si="181"/>
        <v>0.56400000000000017</v>
      </c>
      <c r="F1330">
        <f t="shared" si="177"/>
        <v>3.3333333333333335</v>
      </c>
      <c r="G1330" t="e">
        <f t="shared" si="178"/>
        <v>#N/A</v>
      </c>
      <c r="H1330">
        <f t="shared" si="179"/>
        <v>0.88000000000000067</v>
      </c>
      <c r="I1330" t="e">
        <f t="shared" si="180"/>
        <v>#N/A</v>
      </c>
      <c r="K1330" s="44">
        <f>Beta!$D1255</f>
        <v>0</v>
      </c>
    </row>
    <row r="1331" spans="4:11" x14ac:dyDescent="0.25">
      <c r="D1331">
        <v>90</v>
      </c>
      <c r="E1331" s="94">
        <f t="shared" si="181"/>
        <v>0.56700000000000017</v>
      </c>
      <c r="F1331">
        <f t="shared" si="177"/>
        <v>3.3333333333333335</v>
      </c>
      <c r="G1331" t="e">
        <f t="shared" si="178"/>
        <v>#N/A</v>
      </c>
      <c r="H1331">
        <f t="shared" si="179"/>
        <v>0.89000000000000068</v>
      </c>
      <c r="I1331" t="e">
        <f t="shared" si="180"/>
        <v>#N/A</v>
      </c>
      <c r="K1331" s="44">
        <f>Beta!$D1256</f>
        <v>0</v>
      </c>
    </row>
    <row r="1332" spans="4:11" x14ac:dyDescent="0.25">
      <c r="D1332">
        <v>91</v>
      </c>
      <c r="E1332" s="94">
        <f t="shared" si="181"/>
        <v>0.57000000000000017</v>
      </c>
      <c r="F1332">
        <f t="shared" si="177"/>
        <v>3.3333333333333335</v>
      </c>
      <c r="G1332" t="e">
        <f t="shared" si="178"/>
        <v>#N/A</v>
      </c>
      <c r="H1332">
        <f t="shared" si="179"/>
        <v>0.90000000000000069</v>
      </c>
      <c r="I1332" t="e">
        <f t="shared" si="180"/>
        <v>#N/A</v>
      </c>
      <c r="K1332" s="44">
        <f>Beta!$D1257</f>
        <v>0</v>
      </c>
    </row>
    <row r="1333" spans="4:11" x14ac:dyDescent="0.25">
      <c r="D1333">
        <v>92</v>
      </c>
      <c r="E1333" s="94">
        <f t="shared" si="181"/>
        <v>0.57300000000000018</v>
      </c>
      <c r="F1333">
        <f t="shared" si="177"/>
        <v>3.3333333333333335</v>
      </c>
      <c r="G1333" t="e">
        <f t="shared" si="178"/>
        <v>#N/A</v>
      </c>
      <c r="H1333">
        <f t="shared" si="179"/>
        <v>0.9100000000000007</v>
      </c>
      <c r="I1333" t="e">
        <f t="shared" si="180"/>
        <v>#N/A</v>
      </c>
      <c r="K1333" s="44">
        <f>Beta!$D1258</f>
        <v>0</v>
      </c>
    </row>
    <row r="1334" spans="4:11" x14ac:dyDescent="0.25">
      <c r="D1334">
        <v>93</v>
      </c>
      <c r="E1334" s="94">
        <f t="shared" si="181"/>
        <v>0.57600000000000018</v>
      </c>
      <c r="F1334">
        <f t="shared" si="177"/>
        <v>3.3333333333333335</v>
      </c>
      <c r="G1334" t="e">
        <f t="shared" si="178"/>
        <v>#N/A</v>
      </c>
      <c r="H1334">
        <f t="shared" si="179"/>
        <v>0.92000000000000071</v>
      </c>
      <c r="I1334" t="e">
        <f t="shared" si="180"/>
        <v>#N/A</v>
      </c>
      <c r="K1334" s="44">
        <f>Beta!$D1259</f>
        <v>0</v>
      </c>
    </row>
    <row r="1335" spans="4:11" x14ac:dyDescent="0.25">
      <c r="D1335">
        <v>94</v>
      </c>
      <c r="E1335" s="94">
        <f t="shared" si="181"/>
        <v>0.57900000000000018</v>
      </c>
      <c r="F1335">
        <f t="shared" si="177"/>
        <v>3.3333333333333335</v>
      </c>
      <c r="G1335" t="e">
        <f t="shared" si="178"/>
        <v>#N/A</v>
      </c>
      <c r="H1335">
        <f t="shared" si="179"/>
        <v>0.93000000000000071</v>
      </c>
      <c r="I1335" t="e">
        <f t="shared" si="180"/>
        <v>#N/A</v>
      </c>
      <c r="K1335" s="44">
        <f>Beta!$D1260</f>
        <v>0</v>
      </c>
    </row>
    <row r="1336" spans="4:11" x14ac:dyDescent="0.25">
      <c r="D1336">
        <v>95</v>
      </c>
      <c r="E1336" s="94">
        <f t="shared" si="181"/>
        <v>0.58200000000000018</v>
      </c>
      <c r="F1336">
        <f t="shared" si="177"/>
        <v>3.3333333333333335</v>
      </c>
      <c r="G1336" t="e">
        <f t="shared" si="178"/>
        <v>#N/A</v>
      </c>
      <c r="H1336">
        <f t="shared" si="179"/>
        <v>0.94000000000000072</v>
      </c>
      <c r="I1336" t="e">
        <f t="shared" si="180"/>
        <v>#N/A</v>
      </c>
      <c r="K1336" s="44">
        <f>Beta!$D1261</f>
        <v>0</v>
      </c>
    </row>
    <row r="1337" spans="4:11" x14ac:dyDescent="0.25">
      <c r="D1337">
        <v>96</v>
      </c>
      <c r="E1337" s="94">
        <f t="shared" si="181"/>
        <v>0.58500000000000019</v>
      </c>
      <c r="F1337">
        <f t="shared" si="177"/>
        <v>3.3333333333333335</v>
      </c>
      <c r="G1337" t="e">
        <f t="shared" si="178"/>
        <v>#N/A</v>
      </c>
      <c r="H1337">
        <f t="shared" si="179"/>
        <v>0.95000000000000073</v>
      </c>
      <c r="I1337" t="e">
        <f t="shared" si="180"/>
        <v>#N/A</v>
      </c>
      <c r="K1337" s="44">
        <f>Beta!$D1262</f>
        <v>0</v>
      </c>
    </row>
    <row r="1338" spans="4:11" x14ac:dyDescent="0.25">
      <c r="D1338">
        <v>97</v>
      </c>
      <c r="E1338" s="94">
        <f t="shared" si="181"/>
        <v>0.58800000000000019</v>
      </c>
      <c r="F1338">
        <f t="shared" si="177"/>
        <v>3.3333333333333335</v>
      </c>
      <c r="G1338" t="e">
        <f t="shared" si="178"/>
        <v>#N/A</v>
      </c>
      <c r="H1338">
        <f t="shared" si="179"/>
        <v>0.96000000000000074</v>
      </c>
      <c r="I1338" t="e">
        <f t="shared" si="180"/>
        <v>#N/A</v>
      </c>
      <c r="K1338" s="44">
        <f>Beta!$D1263</f>
        <v>0</v>
      </c>
    </row>
    <row r="1339" spans="4:11" x14ac:dyDescent="0.25">
      <c r="D1339">
        <v>98</v>
      </c>
      <c r="E1339" s="94">
        <f t="shared" si="181"/>
        <v>0.59100000000000019</v>
      </c>
      <c r="F1339">
        <f t="shared" si="177"/>
        <v>3.3333333333333335</v>
      </c>
      <c r="G1339" t="e">
        <f t="shared" si="178"/>
        <v>#N/A</v>
      </c>
      <c r="H1339">
        <f t="shared" si="179"/>
        <v>0.97000000000000075</v>
      </c>
      <c r="I1339" t="e">
        <f t="shared" si="180"/>
        <v>#N/A</v>
      </c>
      <c r="K1339" s="44">
        <f>Beta!$D1264</f>
        <v>0</v>
      </c>
    </row>
    <row r="1340" spans="4:11" x14ac:dyDescent="0.25">
      <c r="D1340">
        <v>99</v>
      </c>
      <c r="E1340" s="94">
        <f t="shared" si="181"/>
        <v>0.59400000000000019</v>
      </c>
      <c r="F1340">
        <f t="shared" si="177"/>
        <v>3.3333333333333335</v>
      </c>
      <c r="G1340" t="e">
        <f t="shared" si="178"/>
        <v>#N/A</v>
      </c>
      <c r="H1340">
        <f t="shared" si="179"/>
        <v>0.98000000000000076</v>
      </c>
      <c r="I1340" t="e">
        <f t="shared" si="180"/>
        <v>#N/A</v>
      </c>
      <c r="K1340" s="44">
        <f>Beta!$D1265</f>
        <v>0</v>
      </c>
    </row>
    <row r="1341" spans="4:11" x14ac:dyDescent="0.25">
      <c r="D1341">
        <v>100</v>
      </c>
      <c r="E1341" s="94">
        <f t="shared" si="181"/>
        <v>0.5970000000000002</v>
      </c>
      <c r="F1341">
        <v>0</v>
      </c>
      <c r="G1341" t="e">
        <f t="shared" si="178"/>
        <v>#N/A</v>
      </c>
      <c r="H1341">
        <f t="shared" si="179"/>
        <v>0.99000000000000077</v>
      </c>
      <c r="I1341" t="e">
        <f t="shared" si="180"/>
        <v>#N/A</v>
      </c>
      <c r="K1341" s="44">
        <f>Beta!$D1266</f>
        <v>0</v>
      </c>
    </row>
  </sheetData>
  <sheetProtection sheet="1" objects="1" scenario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0"/>
  <sheetViews>
    <sheetView zoomScaleNormal="100" workbookViewId="0">
      <selection activeCell="T22" sqref="T22"/>
    </sheetView>
  </sheetViews>
  <sheetFormatPr defaultRowHeight="15" x14ac:dyDescent="0.25"/>
  <cols>
    <col min="1" max="1" width="23.5703125" customWidth="1"/>
    <col min="2" max="2" width="15.28515625" customWidth="1"/>
    <col min="3" max="3" width="8.140625" customWidth="1"/>
    <col min="4" max="4" width="12.42578125" customWidth="1"/>
    <col min="5" max="5" width="16.5703125" customWidth="1"/>
    <col min="6" max="6" width="13.28515625" customWidth="1"/>
    <col min="7" max="7" width="11.28515625" customWidth="1"/>
    <col min="8" max="8" width="12.28515625" customWidth="1"/>
  </cols>
  <sheetData>
    <row r="1" spans="1:8" s="6" customFormat="1" ht="26.25" x14ac:dyDescent="0.4">
      <c r="A1" s="7" t="s">
        <v>192</v>
      </c>
    </row>
    <row r="2" spans="1:8" s="6" customFormat="1" ht="21" x14ac:dyDescent="0.35">
      <c r="B2" s="8" t="s">
        <v>172</v>
      </c>
    </row>
    <row r="3" spans="1:8" s="6" customFormat="1" ht="21" x14ac:dyDescent="0.35">
      <c r="B3" s="8" t="s">
        <v>193</v>
      </c>
    </row>
    <row r="4" spans="1:8" s="1" customFormat="1" ht="21" x14ac:dyDescent="0.35">
      <c r="B4" s="69"/>
      <c r="C4" s="124" t="str">
        <f>Beta!A5</f>
        <v>Parameters</v>
      </c>
      <c r="D4" s="124"/>
    </row>
    <row r="5" spans="1:8" s="1" customFormat="1" ht="21" x14ac:dyDescent="0.35">
      <c r="A5" s="69" t="s">
        <v>173</v>
      </c>
      <c r="C5" s="3" t="s">
        <v>60</v>
      </c>
      <c r="D5" s="74">
        <f>Gamma!C5</f>
        <v>6.5890000000000004E-2</v>
      </c>
      <c r="E5" s="79" t="s">
        <v>200</v>
      </c>
    </row>
    <row r="6" spans="1:8" s="1" customFormat="1" ht="18.75" x14ac:dyDescent="0.3">
      <c r="A6" s="2"/>
      <c r="B6" s="2"/>
      <c r="C6" s="3" t="s">
        <v>61</v>
      </c>
      <c r="D6" s="74">
        <f>Gamma!C6</f>
        <v>396</v>
      </c>
      <c r="E6" s="79"/>
    </row>
    <row r="7" spans="1:8" s="73" customFormat="1" ht="21" x14ac:dyDescent="0.35">
      <c r="A7" s="70" t="s">
        <v>174</v>
      </c>
      <c r="B7" s="71"/>
      <c r="C7" s="71" t="s">
        <v>60</v>
      </c>
      <c r="D7" s="89">
        <v>0.5</v>
      </c>
      <c r="E7" s="80" t="s">
        <v>197</v>
      </c>
    </row>
    <row r="8" spans="1:8" s="73" customFormat="1" ht="18.75" x14ac:dyDescent="0.3">
      <c r="A8" s="72"/>
      <c r="B8" s="72"/>
      <c r="C8" s="71" t="s">
        <v>61</v>
      </c>
      <c r="D8" s="89">
        <v>0</v>
      </c>
      <c r="E8" s="80"/>
    </row>
    <row r="9" spans="1:8" s="1" customFormat="1" ht="19.5" thickBot="1" x14ac:dyDescent="0.35">
      <c r="A9" s="123" t="s">
        <v>175</v>
      </c>
      <c r="B9" s="74" t="s">
        <v>12</v>
      </c>
      <c r="C9" s="3" t="s">
        <v>60</v>
      </c>
      <c r="D9" s="74">
        <v>0.5</v>
      </c>
      <c r="E9" s="81" t="s">
        <v>198</v>
      </c>
    </row>
    <row r="10" spans="1:8" s="1" customFormat="1" ht="19.5" thickBot="1" x14ac:dyDescent="0.35">
      <c r="A10" s="123"/>
      <c r="B10" s="75">
        <v>0.1</v>
      </c>
      <c r="C10" s="3" t="s">
        <v>61</v>
      </c>
      <c r="D10" s="91">
        <f>D9/B10</f>
        <v>5</v>
      </c>
    </row>
    <row r="11" spans="1:8" s="1" customFormat="1" x14ac:dyDescent="0.25"/>
    <row r="12" spans="1:8" s="6" customFormat="1" ht="15.75" thickBot="1" x14ac:dyDescent="0.3"/>
    <row r="13" spans="1:8" s="6" customFormat="1" ht="19.5" customHeight="1" thickBot="1" x14ac:dyDescent="0.4">
      <c r="A13" s="8" t="s">
        <v>176</v>
      </c>
      <c r="C13" s="5" t="s">
        <v>178</v>
      </c>
      <c r="D13" s="77">
        <v>0</v>
      </c>
      <c r="E13" s="78" t="s">
        <v>179</v>
      </c>
    </row>
    <row r="14" spans="1:8" s="6" customFormat="1" ht="19.5" thickBot="1" x14ac:dyDescent="0.35">
      <c r="C14" s="5" t="s">
        <v>116</v>
      </c>
      <c r="D14" s="77">
        <v>870</v>
      </c>
      <c r="E14" s="78" t="s">
        <v>196</v>
      </c>
    </row>
    <row r="15" spans="1:8" s="6" customFormat="1" x14ac:dyDescent="0.25"/>
    <row r="16" spans="1:8" s="1" customFormat="1" ht="18.75" x14ac:dyDescent="0.3">
      <c r="D16" s="82" t="s">
        <v>186</v>
      </c>
      <c r="F16" s="82" t="s">
        <v>187</v>
      </c>
      <c r="H16" s="82" t="s">
        <v>188</v>
      </c>
    </row>
    <row r="17" spans="1:9" s="1" customFormat="1" ht="21" x14ac:dyDescent="0.35">
      <c r="A17" s="69" t="s">
        <v>184</v>
      </c>
      <c r="C17" s="3" t="s">
        <v>60</v>
      </c>
      <c r="D17" s="2">
        <f>D5+D13</f>
        <v>6.5890000000000004E-2</v>
      </c>
      <c r="F17" s="2">
        <f>D7+D13</f>
        <v>0.5</v>
      </c>
      <c r="H17" s="2">
        <f>D9+D13</f>
        <v>0.5</v>
      </c>
    </row>
    <row r="18" spans="1:9" s="1" customFormat="1" ht="18.75" x14ac:dyDescent="0.3">
      <c r="C18" s="3" t="s">
        <v>61</v>
      </c>
      <c r="D18" s="2">
        <f>D6+D14</f>
        <v>1266</v>
      </c>
      <c r="F18" s="2">
        <f>D8+D14</f>
        <v>870</v>
      </c>
      <c r="H18" s="88">
        <f>D10+D14</f>
        <v>875</v>
      </c>
    </row>
    <row r="19" spans="1:9" s="1" customFormat="1" ht="18.75" x14ac:dyDescent="0.3">
      <c r="C19" s="3" t="s">
        <v>185</v>
      </c>
      <c r="D19" s="2" t="str">
        <f>"Gamma("&amp;D17&amp;", "&amp;D18&amp;")"</f>
        <v>Gamma(0.06589, 1266)</v>
      </c>
      <c r="E19" s="81"/>
      <c r="F19" s="74" t="str">
        <f>"Gamma("&amp;F17&amp;", "&amp;F18&amp;")"</f>
        <v>Gamma(0.5, 870)</v>
      </c>
      <c r="G19" s="81"/>
      <c r="H19" s="2" t="str">
        <f>"Gamma("&amp;H17&amp;", "&amp;H18&amp;")"</f>
        <v>Gamma(0.5, 875)</v>
      </c>
    </row>
    <row r="20" spans="1:9" s="1" customFormat="1" x14ac:dyDescent="0.25"/>
    <row r="21" spans="1:9" s="1" customFormat="1" ht="18.75" x14ac:dyDescent="0.3">
      <c r="C21" s="3" t="s">
        <v>35</v>
      </c>
      <c r="D21" s="115">
        <f>GAMMAINV(0.05,$D$17,1/$D$18)</f>
        <v>8.3986955796343123E-24</v>
      </c>
      <c r="E21" s="116">
        <f>D22-D21</f>
        <v>3.4068002942687337E-13</v>
      </c>
      <c r="F21" s="115">
        <f>GAMMAINV(0.05,$F$17,1/$F$18)</f>
        <v>2.259850574723864E-6</v>
      </c>
      <c r="G21" s="116">
        <f>F22-F21</f>
        <v>5.6091324291725298E-5</v>
      </c>
      <c r="H21" s="115">
        <f>GAMMAINV(0.05,$H$17,1/$H$18)</f>
        <v>2.2469371428682993E-6</v>
      </c>
      <c r="I21" s="84">
        <f>H22-H21</f>
        <v>5.5770802438629727E-5</v>
      </c>
    </row>
    <row r="22" spans="1:9" s="1" customFormat="1" ht="18.75" x14ac:dyDescent="0.3">
      <c r="C22" s="71" t="s">
        <v>189</v>
      </c>
      <c r="D22" s="117">
        <f>GAMMAINV(0.25,$D$17,1/$D$18)</f>
        <v>3.4068002943527205E-13</v>
      </c>
      <c r="E22" s="118"/>
      <c r="F22" s="117">
        <f>GAMMAINV(0.25,$F$17,1/$F$18)</f>
        <v>5.8351174866449158E-5</v>
      </c>
      <c r="G22" s="118"/>
      <c r="H22" s="117">
        <f>GAMMAINV(0.25,$H$17,1/$H$18)</f>
        <v>5.8017739581498024E-5</v>
      </c>
    </row>
    <row r="23" spans="1:9" s="1" customFormat="1" ht="21" x14ac:dyDescent="0.35">
      <c r="C23" s="87" t="s">
        <v>190</v>
      </c>
      <c r="D23" s="119">
        <f>D17/D18</f>
        <v>5.2045813586097947E-5</v>
      </c>
      <c r="E23" s="120"/>
      <c r="F23" s="119">
        <f>F17/F18</f>
        <v>5.7471264367816091E-4</v>
      </c>
      <c r="G23" s="120"/>
      <c r="H23" s="119">
        <f>H17/H18</f>
        <v>5.7142857142857147E-4</v>
      </c>
    </row>
    <row r="24" spans="1:9" s="1" customFormat="1" ht="18.75" x14ac:dyDescent="0.3">
      <c r="C24" s="71" t="s">
        <v>191</v>
      </c>
      <c r="D24" s="117">
        <f>GAMMAINV(0.75,$D$17,1/$D$18)</f>
        <v>5.9786605998707312E-6</v>
      </c>
      <c r="E24" s="118"/>
      <c r="F24" s="117">
        <f>GAMMAINV(0.75,$F$17,1/$F$18)</f>
        <v>7.6051936605256681E-4</v>
      </c>
      <c r="G24" s="118"/>
      <c r="H24" s="117">
        <f>GAMMAINV(0.75,$H$17,1/$H$18)</f>
        <v>7.5617354110369501E-4</v>
      </c>
    </row>
    <row r="25" spans="1:9" s="1" customFormat="1" ht="18.75" x14ac:dyDescent="0.3">
      <c r="C25" s="3" t="s">
        <v>37</v>
      </c>
      <c r="D25" s="115">
        <f>GAMMAINV(0.95,$D$17,1/$D$18)</f>
        <v>2.9686871418140736E-4</v>
      </c>
      <c r="E25" s="116">
        <f>D25-D24</f>
        <v>2.9089005358153664E-4</v>
      </c>
      <c r="F25" s="115">
        <f>GAMMAINV(0.95,$F$17,1/$F$18)</f>
        <v>2.2077349544219103E-3</v>
      </c>
      <c r="G25" s="116">
        <f>F25-F24</f>
        <v>1.4472155883693434E-3</v>
      </c>
      <c r="H25" s="115">
        <f>GAMMAINV(0.95,$H$17,1/$H$18)</f>
        <v>2.1951193261109279E-3</v>
      </c>
      <c r="I25" s="84">
        <f>H25-H24</f>
        <v>1.4389457850072329E-3</v>
      </c>
    </row>
    <row r="26" spans="1:9" s="1" customFormat="1" x14ac:dyDescent="0.25"/>
    <row r="27" spans="1:9" s="1" customFormat="1" x14ac:dyDescent="0.25"/>
    <row r="28" spans="1:9" s="1" customFormat="1" x14ac:dyDescent="0.25"/>
    <row r="29" spans="1:9" s="1" customFormat="1" x14ac:dyDescent="0.25"/>
    <row r="30" spans="1:9" s="1" customFormat="1" x14ac:dyDescent="0.25"/>
    <row r="31" spans="1:9" s="1" customFormat="1" x14ac:dyDescent="0.25"/>
    <row r="32" spans="1:9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</sheetData>
  <sheetProtection sheet="1" objects="1" scenarios="1"/>
  <mergeCells count="2">
    <mergeCell ref="C4:D4"/>
    <mergeCell ref="A9:A1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6"/>
  <sheetViews>
    <sheetView zoomScaleNormal="100" workbookViewId="0">
      <selection activeCell="H7" sqref="H7"/>
    </sheetView>
  </sheetViews>
  <sheetFormatPr defaultRowHeight="15" x14ac:dyDescent="0.25"/>
  <cols>
    <col min="1" max="1" width="23.5703125" customWidth="1"/>
    <col min="2" max="2" width="15.28515625" customWidth="1"/>
    <col min="3" max="3" width="8.140625" customWidth="1"/>
    <col min="4" max="4" width="13.85546875" customWidth="1"/>
    <col min="5" max="5" width="11.7109375" customWidth="1"/>
    <col min="6" max="6" width="13" customWidth="1"/>
    <col min="7" max="7" width="10.7109375" customWidth="1"/>
    <col min="8" max="8" width="10.140625" customWidth="1"/>
    <col min="9" max="9" width="10" customWidth="1"/>
    <col min="10" max="10" width="10.140625" customWidth="1"/>
  </cols>
  <sheetData>
    <row r="1" spans="1:34" s="6" customFormat="1" ht="26.25" x14ac:dyDescent="0.4">
      <c r="A1" s="7" t="s">
        <v>201</v>
      </c>
    </row>
    <row r="2" spans="1:34" s="6" customFormat="1" ht="21" x14ac:dyDescent="0.35">
      <c r="B2" s="8" t="s">
        <v>172</v>
      </c>
    </row>
    <row r="3" spans="1:34" s="6" customFormat="1" ht="21" x14ac:dyDescent="0.35">
      <c r="B3" s="8" t="s">
        <v>202</v>
      </c>
    </row>
    <row r="4" spans="1:34" s="1" customFormat="1" ht="21" x14ac:dyDescent="0.35">
      <c r="B4" s="69"/>
      <c r="C4" s="124" t="str">
        <f>Beta!A5</f>
        <v>Parameters</v>
      </c>
      <c r="D4" s="124"/>
    </row>
    <row r="5" spans="1:34" s="1" customFormat="1" ht="21" x14ac:dyDescent="0.35">
      <c r="A5" s="69" t="s">
        <v>173</v>
      </c>
      <c r="C5" s="3" t="s">
        <v>60</v>
      </c>
      <c r="D5" s="74">
        <f>Gamma!C5</f>
        <v>6.5890000000000004E-2</v>
      </c>
      <c r="E5" s="79" t="s">
        <v>200</v>
      </c>
    </row>
    <row r="6" spans="1:34" s="1" customFormat="1" ht="18.75" x14ac:dyDescent="0.3">
      <c r="A6" s="2"/>
      <c r="B6" s="2"/>
      <c r="C6" s="3" t="s">
        <v>61</v>
      </c>
      <c r="D6" s="74">
        <f>Gamma!C6</f>
        <v>396</v>
      </c>
      <c r="E6" s="79"/>
    </row>
    <row r="7" spans="1:34" s="73" customFormat="1" ht="21" x14ac:dyDescent="0.35">
      <c r="A7" s="70" t="s">
        <v>174</v>
      </c>
      <c r="B7" s="71"/>
      <c r="C7" s="71" t="s">
        <v>60</v>
      </c>
      <c r="D7" s="89">
        <v>0</v>
      </c>
      <c r="E7" s="80" t="s">
        <v>203</v>
      </c>
    </row>
    <row r="8" spans="1:34" s="73" customFormat="1" ht="18.75" x14ac:dyDescent="0.3">
      <c r="A8" s="72"/>
      <c r="B8" s="72"/>
      <c r="C8" s="71" t="s">
        <v>61</v>
      </c>
      <c r="D8" s="89">
        <v>0</v>
      </c>
      <c r="E8" s="80"/>
    </row>
    <row r="9" spans="1:34" s="6" customFormat="1" x14ac:dyDescent="0.25"/>
    <row r="10" spans="1:34" s="6" customFormat="1" ht="19.5" customHeight="1" thickBot="1" x14ac:dyDescent="0.4">
      <c r="A10" s="8" t="s">
        <v>176</v>
      </c>
      <c r="C10" s="5" t="s">
        <v>205</v>
      </c>
      <c r="D10" s="97">
        <f>COUNT(D11:AH11)</f>
        <v>6</v>
      </c>
      <c r="E10" s="78"/>
    </row>
    <row r="11" spans="1:34" s="6" customFormat="1" ht="19.5" thickBot="1" x14ac:dyDescent="0.35">
      <c r="C11" s="5" t="s">
        <v>204</v>
      </c>
      <c r="D11" s="77">
        <v>55</v>
      </c>
      <c r="E11" s="77">
        <v>66</v>
      </c>
      <c r="F11" s="77">
        <v>77</v>
      </c>
      <c r="G11" s="77">
        <v>88</v>
      </c>
      <c r="H11" s="77">
        <v>99</v>
      </c>
      <c r="I11" s="77">
        <v>11</v>
      </c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</row>
    <row r="12" spans="1:34" s="6" customFormat="1" x14ac:dyDescent="0.25"/>
    <row r="13" spans="1:34" s="1" customFormat="1" ht="18.75" x14ac:dyDescent="0.3">
      <c r="D13" s="95" t="s">
        <v>186</v>
      </c>
      <c r="F13" s="95" t="s">
        <v>187</v>
      </c>
      <c r="H13" s="96"/>
    </row>
    <row r="14" spans="1:34" s="1" customFormat="1" ht="21" x14ac:dyDescent="0.35">
      <c r="A14" s="69" t="s">
        <v>184</v>
      </c>
      <c r="C14" s="3" t="s">
        <v>60</v>
      </c>
      <c r="D14" s="2">
        <f>D5+D10</f>
        <v>6.0658899999999996</v>
      </c>
      <c r="F14" s="2">
        <f>D7+D10</f>
        <v>6</v>
      </c>
      <c r="H14" s="2"/>
    </row>
    <row r="15" spans="1:34" s="1" customFormat="1" ht="18.75" x14ac:dyDescent="0.3">
      <c r="C15" s="3" t="s">
        <v>61</v>
      </c>
      <c r="D15" s="2">
        <f>D6+SUM(D11:AH11)</f>
        <v>792</v>
      </c>
      <c r="F15" s="2">
        <f>D8+SUM(D11:AH11)</f>
        <v>396</v>
      </c>
      <c r="H15" s="88"/>
    </row>
    <row r="16" spans="1:34" s="1" customFormat="1" ht="18.75" x14ac:dyDescent="0.3">
      <c r="C16" s="3" t="s">
        <v>185</v>
      </c>
      <c r="D16" s="2" t="str">
        <f>"Gamma("&amp;D14&amp;", "&amp;D15&amp;")"</f>
        <v>Gamma(6.06589, 792)</v>
      </c>
      <c r="E16" s="81"/>
      <c r="F16" s="40" t="str">
        <f>"Gamma("&amp;F14&amp;", "&amp;F15&amp;")"</f>
        <v>Gamma(6, 396)</v>
      </c>
      <c r="G16" s="81"/>
      <c r="H16" s="2"/>
    </row>
    <row r="17" spans="3:9" s="1" customFormat="1" x14ac:dyDescent="0.25"/>
    <row r="18" spans="3:9" s="1" customFormat="1" ht="18.75" x14ac:dyDescent="0.3">
      <c r="C18" s="3" t="s">
        <v>35</v>
      </c>
      <c r="D18" s="115">
        <f>GAMMAINV(0.05,$D$14,1/$D$15)</f>
        <v>3.3541520411239094E-3</v>
      </c>
      <c r="E18" s="116">
        <f>D19-D18</f>
        <v>2.0445150307316948E-3</v>
      </c>
      <c r="F18" s="115">
        <f>GAMMAINV(0.05,$F$14,1/$F$15)</f>
        <v>6.5985220813038386E-3</v>
      </c>
      <c r="G18" s="84">
        <f>F19-F18</f>
        <v>4.0560470678575157E-3</v>
      </c>
      <c r="H18" s="83"/>
      <c r="I18" s="84"/>
    </row>
    <row r="19" spans="3:9" s="1" customFormat="1" ht="18.75" x14ac:dyDescent="0.3">
      <c r="C19" s="71" t="s">
        <v>189</v>
      </c>
      <c r="D19" s="117">
        <f>GAMMAINV(0.25,$D$14,1/$D$15)</f>
        <v>5.3986670718556042E-3</v>
      </c>
      <c r="E19" s="118"/>
      <c r="F19" s="117">
        <f>GAMMAINV(0.25,$F$14,1/$F$15)</f>
        <v>1.0654569149161354E-2</v>
      </c>
      <c r="G19" s="73"/>
      <c r="H19" s="83"/>
    </row>
    <row r="20" spans="3:9" s="1" customFormat="1" ht="21" x14ac:dyDescent="0.35">
      <c r="C20" s="87" t="s">
        <v>190</v>
      </c>
      <c r="D20" s="119">
        <f>D14/D15</f>
        <v>7.6589520202020199E-3</v>
      </c>
      <c r="E20" s="120"/>
      <c r="F20" s="119">
        <f>F14/F15</f>
        <v>1.5151515151515152E-2</v>
      </c>
      <c r="G20" s="86"/>
      <c r="H20" s="85"/>
    </row>
    <row r="21" spans="3:9" s="1" customFormat="1" ht="18.75" x14ac:dyDescent="0.3">
      <c r="C21" s="71" t="s">
        <v>191</v>
      </c>
      <c r="D21" s="117">
        <f>GAMMAINV(0.75,$D$14,1/$D$15)</f>
        <v>9.4670286005580397E-3</v>
      </c>
      <c r="E21" s="118"/>
      <c r="F21" s="117">
        <f>GAMMAINV(0.75,$F$14,1/$F$15)</f>
        <v>1.8744196554343659E-2</v>
      </c>
      <c r="G21" s="73"/>
      <c r="H21" s="83"/>
    </row>
    <row r="22" spans="3:9" s="1" customFormat="1" ht="18.75" x14ac:dyDescent="0.3">
      <c r="C22" s="3" t="s">
        <v>37</v>
      </c>
      <c r="D22" s="115">
        <f>GAMMAINV(0.95,$D$14,1/$D$15)</f>
        <v>1.3385692829668195E-2</v>
      </c>
      <c r="E22" s="116">
        <f>D22-D21</f>
        <v>3.918664229110155E-3</v>
      </c>
      <c r="F22" s="115">
        <f>GAMMAINV(0.95,$F$14,1/$F$15)</f>
        <v>2.6548067951367504E-2</v>
      </c>
      <c r="G22" s="84">
        <f>F22-F21</f>
        <v>7.8038713970238448E-3</v>
      </c>
      <c r="H22" s="83"/>
      <c r="I22" s="84"/>
    </row>
    <row r="23" spans="3:9" s="1" customFormat="1" ht="18.75" x14ac:dyDescent="0.3">
      <c r="C23" s="71" t="s">
        <v>206</v>
      </c>
      <c r="D23" s="117">
        <f>1/D20</f>
        <v>130.56616588827032</v>
      </c>
      <c r="E23" s="121"/>
      <c r="F23" s="117">
        <f>1/F20</f>
        <v>66</v>
      </c>
      <c r="G23" s="98"/>
      <c r="H23" s="99" t="s">
        <v>297</v>
      </c>
      <c r="I23" s="84"/>
    </row>
    <row r="24" spans="3:9" s="1" customFormat="1" x14ac:dyDescent="0.25"/>
    <row r="25" spans="3:9" s="1" customFormat="1" x14ac:dyDescent="0.25"/>
    <row r="26" spans="3:9" s="1" customFormat="1" x14ac:dyDescent="0.25"/>
    <row r="27" spans="3:9" s="1" customFormat="1" x14ac:dyDescent="0.25"/>
    <row r="28" spans="3:9" s="1" customFormat="1" x14ac:dyDescent="0.25"/>
    <row r="29" spans="3:9" s="1" customFormat="1" x14ac:dyDescent="0.25"/>
    <row r="30" spans="3:9" s="1" customFormat="1" x14ac:dyDescent="0.25"/>
    <row r="31" spans="3:9" s="1" customFormat="1" x14ac:dyDescent="0.25"/>
    <row r="32" spans="3:9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</sheetData>
  <mergeCells count="1">
    <mergeCell ref="C4:D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2"/>
  <sheetViews>
    <sheetView zoomScale="90" zoomScaleNormal="90" workbookViewId="0">
      <selection activeCell="F6" sqref="F6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9" customWidth="1"/>
    <col min="6" max="6" width="16.85546875" bestFit="1" customWidth="1"/>
    <col min="7" max="7" width="27" customWidth="1"/>
    <col min="8" max="8" width="24.140625" bestFit="1" customWidth="1"/>
    <col min="9" max="9" width="16.85546875" customWidth="1"/>
  </cols>
  <sheetData>
    <row r="1" spans="1:10" s="7" customFormat="1" ht="26.25" x14ac:dyDescent="0.4">
      <c r="A1" s="7" t="s">
        <v>57</v>
      </c>
      <c r="G1" s="41" t="s">
        <v>58</v>
      </c>
    </row>
    <row r="2" spans="1:10" s="7" customFormat="1" ht="11.25" customHeight="1" x14ac:dyDescent="0.4"/>
    <row r="3" spans="1:10" s="7" customFormat="1" ht="19.5" customHeight="1" x14ac:dyDescent="0.4">
      <c r="C3" s="8" t="s">
        <v>59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60</v>
      </c>
      <c r="C5" s="57">
        <v>1</v>
      </c>
      <c r="E5" s="3" t="s">
        <v>56</v>
      </c>
      <c r="F5" s="3" t="s">
        <v>52</v>
      </c>
      <c r="G5" s="43">
        <f>C5/(C5+C6)</f>
        <v>0.1111111111111111</v>
      </c>
      <c r="H5" s="3" t="s">
        <v>107</v>
      </c>
      <c r="I5" s="3" t="s">
        <v>60</v>
      </c>
      <c r="J5" s="40">
        <f>C5</f>
        <v>1</v>
      </c>
    </row>
    <row r="6" spans="1:10" s="1" customFormat="1" ht="19.5" thickBot="1" x14ac:dyDescent="0.35">
      <c r="A6" s="2"/>
      <c r="B6" s="3" t="s">
        <v>61</v>
      </c>
      <c r="C6" s="57">
        <v>8</v>
      </c>
      <c r="F6" s="3" t="s">
        <v>81</v>
      </c>
      <c r="G6" s="43">
        <f>C6</f>
        <v>8</v>
      </c>
      <c r="H6" s="63" t="s">
        <v>110</v>
      </c>
      <c r="I6" s="3" t="s">
        <v>61</v>
      </c>
      <c r="J6" s="40">
        <f>C6</f>
        <v>8</v>
      </c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30" x14ac:dyDescent="0.3">
      <c r="A9" s="4"/>
      <c r="B9" s="5"/>
      <c r="C9" s="12"/>
      <c r="D9" s="11" t="s">
        <v>67</v>
      </c>
      <c r="E9" s="13" t="s">
        <v>63</v>
      </c>
      <c r="F9" s="14" t="s">
        <v>68</v>
      </c>
      <c r="G9" s="15" t="s">
        <v>65</v>
      </c>
      <c r="H9" s="16" t="s">
        <v>64</v>
      </c>
      <c r="I9" s="16" t="s">
        <v>66</v>
      </c>
    </row>
    <row r="10" spans="1:10" s="6" customFormat="1" ht="10.5" customHeight="1" x14ac:dyDescent="0.25"/>
    <row r="11" spans="1:10" s="19" customFormat="1" ht="19.5" thickBot="1" x14ac:dyDescent="0.35">
      <c r="A11" s="2" t="s">
        <v>69</v>
      </c>
    </row>
    <row r="12" spans="1:10" s="1" customFormat="1" ht="19.5" thickBot="1" x14ac:dyDescent="0.35">
      <c r="C12" s="3" t="s">
        <v>20</v>
      </c>
      <c r="D12" s="57">
        <v>0</v>
      </c>
    </row>
    <row r="13" spans="1:10" s="1" customFormat="1" ht="19.5" thickBot="1" x14ac:dyDescent="0.35">
      <c r="C13" s="3" t="s">
        <v>21</v>
      </c>
      <c r="D13" s="92">
        <v>0.3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X ≤ " &amp; D13 &amp;") ="</f>
        <v>Pr(0 ≤ X ≤ 0.3) =</v>
      </c>
      <c r="D15" s="46">
        <f>BETADIST($D$13,$C$5,$C$6)-BETADIST($D$12,$C$5,$C$6)</f>
        <v>0.94235199000000003</v>
      </c>
      <c r="F15" s="61" t="s">
        <v>105</v>
      </c>
    </row>
    <row r="16" spans="1:10" s="1" customFormat="1" ht="15.75" x14ac:dyDescent="0.25">
      <c r="C16" s="20" t="str">
        <f>"Pr(X ≤ "&amp;D12&amp;") ="</f>
        <v>Pr(X ≤ 0) =</v>
      </c>
      <c r="D16" s="46">
        <f>BETADIST($D$12,$C$5,$C$6)</f>
        <v>0</v>
      </c>
    </row>
    <row r="17" spans="1:7" s="1" customFormat="1" ht="15.75" x14ac:dyDescent="0.25">
      <c r="C17" s="20" t="str">
        <f>"Pr(X ≤ " &amp; D13 &amp; ") ="</f>
        <v>Pr(X ≤ 0.3) =</v>
      </c>
      <c r="D17" s="46">
        <f>BETADIST($D$13,$C$5,$C$6)</f>
        <v>0.94235199000000003</v>
      </c>
    </row>
    <row r="18" spans="1:7" s="1" customFormat="1" ht="15.75" x14ac:dyDescent="0.25">
      <c r="C18" s="20" t="str">
        <f>"Pr(X &gt; " &amp; D13 &amp;") ="</f>
        <v>Pr(X &gt; 0.3) =</v>
      </c>
      <c r="D18" s="46">
        <f>1-BETADIST($D$13,$C$5,$C$6)</f>
        <v>5.7648009999999972E-2</v>
      </c>
    </row>
    <row r="19" spans="1:7" s="1" customFormat="1" ht="15.75" x14ac:dyDescent="0.25">
      <c r="C19" s="20"/>
      <c r="D19" s="46"/>
    </row>
    <row r="20" spans="1:7" s="1" customFormat="1" ht="15.75" x14ac:dyDescent="0.25">
      <c r="C20" s="20" t="s">
        <v>52</v>
      </c>
      <c r="D20" s="46">
        <f>C5/(C5+C6)</f>
        <v>0.1111111111111111</v>
      </c>
    </row>
    <row r="21" spans="1:7" s="1" customFormat="1" ht="15.75" x14ac:dyDescent="0.25">
      <c r="C21" s="20" t="s">
        <v>38</v>
      </c>
      <c r="D21" s="46">
        <f>SQRT($G$5*(1-$G$5)/($C$5+$C$6+1))</f>
        <v>9.9380798999990652E-2</v>
      </c>
    </row>
    <row r="22" spans="1:7" s="1" customFormat="1" ht="15.75" x14ac:dyDescent="0.25">
      <c r="C22" s="20" t="s">
        <v>34</v>
      </c>
      <c r="D22" s="46">
        <f>D21^2</f>
        <v>9.876543209876543E-3</v>
      </c>
    </row>
    <row r="23" spans="1:7" s="1" customFormat="1" ht="15.75" x14ac:dyDescent="0.25">
      <c r="C23" s="20"/>
      <c r="D23" s="46"/>
    </row>
    <row r="24" spans="1:7" s="1" customFormat="1" ht="15.75" x14ac:dyDescent="0.25">
      <c r="C24" s="20" t="s">
        <v>35</v>
      </c>
      <c r="D24" s="46">
        <f>BETAINV(0.05, $C$5, $C$6)</f>
        <v>6.3911509545449881E-3</v>
      </c>
    </row>
    <row r="25" spans="1:7" s="1" customFormat="1" ht="15.75" x14ac:dyDescent="0.25">
      <c r="C25" s="20" t="s">
        <v>36</v>
      </c>
      <c r="D25" s="46">
        <f>BETAINV(0.5, $C$5, $C$6)</f>
        <v>8.2995956795328757E-2</v>
      </c>
    </row>
    <row r="26" spans="1:7" s="1" customFormat="1" ht="15.75" x14ac:dyDescent="0.25">
      <c r="C26" s="20" t="s">
        <v>37</v>
      </c>
      <c r="D26" s="46">
        <f>BETAINV(0.95, $C$5, $C$6)</f>
        <v>0.31234397806636782</v>
      </c>
    </row>
    <row r="27" spans="1:7" s="1" customFormat="1" x14ac:dyDescent="0.25"/>
    <row r="28" spans="1:7" s="6" customFormat="1" ht="18.75" x14ac:dyDescent="0.3">
      <c r="A28" s="4" t="s">
        <v>70</v>
      </c>
    </row>
    <row r="29" spans="1:7" s="6" customFormat="1" ht="18.75" x14ac:dyDescent="0.3">
      <c r="A29" s="4"/>
    </row>
    <row r="30" spans="1:7" s="6" customFormat="1" ht="18.75" x14ac:dyDescent="0.3">
      <c r="A30" s="4"/>
      <c r="C30" s="30" t="s">
        <v>44</v>
      </c>
      <c r="D30" s="32">
        <f ca="1">AVERAGE(D33:D132)</f>
        <v>0.10343554185915056</v>
      </c>
      <c r="F30" s="30" t="s">
        <v>45</v>
      </c>
      <c r="G30" s="32">
        <f ca="1">STDEV(D33:D132)</f>
        <v>9.3070120671865986E-2</v>
      </c>
    </row>
    <row r="31" spans="1:7" s="6" customFormat="1" ht="18.75" x14ac:dyDescent="0.3">
      <c r="A31" s="4"/>
    </row>
    <row r="32" spans="1:7" s="6" customFormat="1" ht="15.75" x14ac:dyDescent="0.25">
      <c r="B32" s="31" t="s">
        <v>41</v>
      </c>
      <c r="C32" s="31" t="s">
        <v>42</v>
      </c>
      <c r="D32" s="31" t="s">
        <v>43</v>
      </c>
      <c r="E32" s="33"/>
      <c r="F32" s="34" t="s">
        <v>46</v>
      </c>
    </row>
    <row r="33" spans="2:7" s="6" customFormat="1" x14ac:dyDescent="0.25">
      <c r="B33" s="6">
        <v>1</v>
      </c>
      <c r="C33" s="28">
        <f ca="1">RAND()</f>
        <v>0.25717652562973525</v>
      </c>
      <c r="D33" s="29">
        <f ca="1">BETAINV(C33,$C$5,$C$6)</f>
        <v>3.6480069608055693E-2</v>
      </c>
      <c r="F33" s="9">
        <f ca="1">IF(D33&gt;$D$13,0,1)</f>
        <v>1</v>
      </c>
    </row>
    <row r="34" spans="2:7" s="6" customFormat="1" x14ac:dyDescent="0.25">
      <c r="B34" s="6">
        <v>2</v>
      </c>
      <c r="C34" s="28">
        <f ca="1">RAND()</f>
        <v>0.69277052562975672</v>
      </c>
      <c r="D34" s="29">
        <f t="shared" ref="D34:D97" ca="1" si="0">BETAINV(C34,$C$5,$C$6)</f>
        <v>0.13715485511246506</v>
      </c>
      <c r="F34" s="9">
        <f t="shared" ref="F34:F97" ca="1" si="1">IF(D34&gt;$D$13,0,1)</f>
        <v>1</v>
      </c>
      <c r="G34" s="36" t="s">
        <v>47</v>
      </c>
    </row>
    <row r="35" spans="2:7" s="6" customFormat="1" x14ac:dyDescent="0.25">
      <c r="B35" s="6">
        <v>3</v>
      </c>
      <c r="C35" s="28">
        <f t="shared" ref="C35:C98" ca="1" si="2">RAND()</f>
        <v>0.16224268630162331</v>
      </c>
      <c r="D35" s="29">
        <f t="shared" ca="1" si="0"/>
        <v>2.1885316744180858E-2</v>
      </c>
      <c r="F35" s="9">
        <f t="shared" ca="1" si="1"/>
        <v>1</v>
      </c>
      <c r="G35" s="47">
        <f ca="1">SUM(F33:F132)/100</f>
        <v>0.97</v>
      </c>
    </row>
    <row r="36" spans="2:7" s="6" customFormat="1" x14ac:dyDescent="0.25">
      <c r="B36" s="6">
        <v>4</v>
      </c>
      <c r="C36" s="28">
        <f t="shared" ca="1" si="2"/>
        <v>0.28089456956711023</v>
      </c>
      <c r="D36" s="29">
        <f t="shared" ca="1" si="0"/>
        <v>4.0380485503351729E-2</v>
      </c>
      <c r="F36" s="9">
        <f t="shared" ca="1" si="1"/>
        <v>1</v>
      </c>
    </row>
    <row r="37" spans="2:7" s="6" customFormat="1" x14ac:dyDescent="0.25">
      <c r="B37" s="6">
        <v>5</v>
      </c>
      <c r="C37" s="28">
        <f t="shared" ca="1" si="2"/>
        <v>0.21537233249936716</v>
      </c>
      <c r="D37" s="29">
        <f t="shared" ca="1" si="0"/>
        <v>2.9863259497248273E-2</v>
      </c>
      <c r="F37" s="9">
        <f t="shared" ca="1" si="1"/>
        <v>1</v>
      </c>
      <c r="G37" s="36" t="s">
        <v>49</v>
      </c>
    </row>
    <row r="38" spans="2:7" s="6" customFormat="1" x14ac:dyDescent="0.25">
      <c r="B38" s="6">
        <v>6</v>
      </c>
      <c r="C38" s="28">
        <f t="shared" ca="1" si="2"/>
        <v>0.98166413680188136</v>
      </c>
      <c r="D38" s="29">
        <f t="shared" ca="1" si="0"/>
        <v>0.39338566355931759</v>
      </c>
      <c r="F38" s="9">
        <f t="shared" ca="1" si="1"/>
        <v>0</v>
      </c>
      <c r="G38" s="47">
        <f ca="1">PERCENTILE($D$33:$D$132, 0.05)</f>
        <v>4.8723030140469708E-3</v>
      </c>
    </row>
    <row r="39" spans="2:7" s="6" customFormat="1" x14ac:dyDescent="0.25">
      <c r="B39" s="6">
        <v>7</v>
      </c>
      <c r="C39" s="28">
        <f t="shared" ca="1" si="2"/>
        <v>0.93404823030387674</v>
      </c>
      <c r="D39" s="29">
        <f t="shared" ca="1" si="0"/>
        <v>0.28812571258891828</v>
      </c>
      <c r="F39" s="9">
        <f t="shared" ca="1" si="1"/>
        <v>1</v>
      </c>
    </row>
    <row r="40" spans="2:7" s="6" customFormat="1" x14ac:dyDescent="0.25">
      <c r="B40" s="6">
        <v>8</v>
      </c>
      <c r="C40" s="28">
        <f t="shared" ca="1" si="2"/>
        <v>0.10084378908112057</v>
      </c>
      <c r="D40" s="29">
        <f t="shared" ca="1" si="0"/>
        <v>1.3199425711162827E-2</v>
      </c>
      <c r="F40" s="9">
        <f t="shared" ca="1" si="1"/>
        <v>1</v>
      </c>
      <c r="G40" s="36" t="s">
        <v>50</v>
      </c>
    </row>
    <row r="41" spans="2:7" s="6" customFormat="1" x14ac:dyDescent="0.25">
      <c r="B41" s="6">
        <v>9</v>
      </c>
      <c r="C41" s="28">
        <f t="shared" ca="1" si="2"/>
        <v>0.27363562720021772</v>
      </c>
      <c r="D41" s="29">
        <f t="shared" ca="1" si="0"/>
        <v>3.917495082754871E-2</v>
      </c>
      <c r="F41" s="9">
        <f t="shared" ca="1" si="1"/>
        <v>1</v>
      </c>
      <c r="G41" s="47">
        <f ca="1">PERCENTILE($D$33:$D$132, 0.5)</f>
        <v>8.6265077404023727E-2</v>
      </c>
    </row>
    <row r="42" spans="2:7" s="6" customFormat="1" x14ac:dyDescent="0.25">
      <c r="B42" s="6">
        <v>10</v>
      </c>
      <c r="C42" s="28">
        <f t="shared" ca="1" si="2"/>
        <v>0.29822183150344173</v>
      </c>
      <c r="D42" s="29">
        <f t="shared" ca="1" si="0"/>
        <v>4.3301745234842544E-2</v>
      </c>
      <c r="F42" s="9">
        <f t="shared" ca="1" si="1"/>
        <v>1</v>
      </c>
    </row>
    <row r="43" spans="2:7" s="6" customFormat="1" x14ac:dyDescent="0.25">
      <c r="B43" s="6">
        <v>11</v>
      </c>
      <c r="C43" s="28">
        <f t="shared" ca="1" si="2"/>
        <v>0.19610850973935312</v>
      </c>
      <c r="D43" s="29">
        <f t="shared" ca="1" si="0"/>
        <v>2.6917462614256434E-2</v>
      </c>
      <c r="F43" s="9">
        <f t="shared" ca="1" si="1"/>
        <v>1</v>
      </c>
      <c r="G43" s="36" t="s">
        <v>51</v>
      </c>
    </row>
    <row r="44" spans="2:7" s="6" customFormat="1" x14ac:dyDescent="0.25">
      <c r="B44" s="6">
        <v>12</v>
      </c>
      <c r="C44" s="28">
        <f t="shared" ca="1" si="2"/>
        <v>2.4495254922373255E-2</v>
      </c>
      <c r="D44" s="29">
        <f t="shared" ca="1" si="0"/>
        <v>3.0952316976609663E-3</v>
      </c>
      <c r="F44" s="9">
        <f t="shared" ca="1" si="1"/>
        <v>1</v>
      </c>
      <c r="G44" s="47">
        <f ca="1">PERCENTILE($D$33:$D$132, 0.95)</f>
        <v>0.26587962799365106</v>
      </c>
    </row>
    <row r="45" spans="2:7" s="6" customFormat="1" x14ac:dyDescent="0.25">
      <c r="B45" s="6">
        <v>13</v>
      </c>
      <c r="C45" s="28">
        <f t="shared" ca="1" si="2"/>
        <v>0.81677375920112727</v>
      </c>
      <c r="D45" s="29">
        <f t="shared" ca="1" si="0"/>
        <v>0.19113981404193148</v>
      </c>
      <c r="F45" s="9">
        <f t="shared" ca="1" si="1"/>
        <v>1</v>
      </c>
    </row>
    <row r="46" spans="2:7" s="6" customFormat="1" x14ac:dyDescent="0.25">
      <c r="B46" s="6">
        <v>14</v>
      </c>
      <c r="C46" s="28">
        <f t="shared" ca="1" si="2"/>
        <v>0.10732013712252908</v>
      </c>
      <c r="D46" s="29">
        <f t="shared" ca="1" si="0"/>
        <v>1.4090691013012496E-2</v>
      </c>
      <c r="F46" s="9">
        <f t="shared" ca="1" si="1"/>
        <v>1</v>
      </c>
    </row>
    <row r="47" spans="2:7" s="6" customFormat="1" x14ac:dyDescent="0.25">
      <c r="B47" s="6">
        <v>15</v>
      </c>
      <c r="C47" s="28">
        <f t="shared" ca="1" si="2"/>
        <v>0.21803883580420447</v>
      </c>
      <c r="D47" s="29">
        <f t="shared" ca="1" si="0"/>
        <v>3.0275991439968807E-2</v>
      </c>
      <c r="F47" s="9">
        <f t="shared" ca="1" si="1"/>
        <v>1</v>
      </c>
    </row>
    <row r="48" spans="2:7" s="6" customFormat="1" x14ac:dyDescent="0.25">
      <c r="B48" s="6">
        <v>16</v>
      </c>
      <c r="C48" s="28">
        <f t="shared" ca="1" si="2"/>
        <v>3.6650852641296305E-2</v>
      </c>
      <c r="D48" s="29">
        <f t="shared" ca="1" si="0"/>
        <v>4.6565458576456765E-3</v>
      </c>
      <c r="F48" s="9">
        <f t="shared" ca="1" si="1"/>
        <v>1</v>
      </c>
    </row>
    <row r="49" spans="2:6" s="6" customFormat="1" x14ac:dyDescent="0.25">
      <c r="B49" s="6">
        <v>17</v>
      </c>
      <c r="C49" s="28">
        <f t="shared" ca="1" si="2"/>
        <v>0.44011554803070096</v>
      </c>
      <c r="D49" s="29">
        <f t="shared" ca="1" si="0"/>
        <v>6.9937142620772025E-2</v>
      </c>
      <c r="F49" s="9">
        <f t="shared" ca="1" si="1"/>
        <v>1</v>
      </c>
    </row>
    <row r="50" spans="2:6" s="6" customFormat="1" x14ac:dyDescent="0.25">
      <c r="B50" s="6">
        <v>18</v>
      </c>
      <c r="C50" s="28">
        <f t="shared" ca="1" si="2"/>
        <v>0.64178351427577884</v>
      </c>
      <c r="D50" s="29">
        <f t="shared" ca="1" si="0"/>
        <v>0.12043448010651203</v>
      </c>
      <c r="F50" s="9">
        <f t="shared" ca="1" si="1"/>
        <v>1</v>
      </c>
    </row>
    <row r="51" spans="2:6" s="6" customFormat="1" x14ac:dyDescent="0.25">
      <c r="B51" s="6">
        <v>19</v>
      </c>
      <c r="C51" s="28">
        <f t="shared" ca="1" si="2"/>
        <v>0.57149772892977613</v>
      </c>
      <c r="D51" s="29">
        <f t="shared" ca="1" si="0"/>
        <v>0.10051455336261539</v>
      </c>
      <c r="F51" s="9">
        <f t="shared" ca="1" si="1"/>
        <v>1</v>
      </c>
    </row>
    <row r="52" spans="2:6" s="6" customFormat="1" x14ac:dyDescent="0.25">
      <c r="B52" s="6">
        <v>20</v>
      </c>
      <c r="C52" s="28">
        <f t="shared" ca="1" si="2"/>
        <v>0.55675492008648053</v>
      </c>
      <c r="D52" s="29">
        <f t="shared" ca="1" si="0"/>
        <v>9.6703161036883589E-2</v>
      </c>
      <c r="F52" s="9">
        <f t="shared" ca="1" si="1"/>
        <v>1</v>
      </c>
    </row>
    <row r="53" spans="2:6" s="6" customFormat="1" x14ac:dyDescent="0.25">
      <c r="B53" s="6">
        <v>21</v>
      </c>
      <c r="C53" s="28">
        <f t="shared" ca="1" si="2"/>
        <v>0.80654734684347928</v>
      </c>
      <c r="D53" s="29">
        <f t="shared" ca="1" si="0"/>
        <v>0.18562986935327785</v>
      </c>
      <c r="F53" s="9">
        <f t="shared" ca="1" si="1"/>
        <v>1</v>
      </c>
    </row>
    <row r="54" spans="2:6" s="6" customFormat="1" x14ac:dyDescent="0.25">
      <c r="B54" s="6">
        <v>22</v>
      </c>
      <c r="C54" s="28">
        <f t="shared" ca="1" si="2"/>
        <v>0.99785452531157837</v>
      </c>
      <c r="D54" s="29">
        <f t="shared" ca="1" si="0"/>
        <v>0.53608285355214325</v>
      </c>
      <c r="F54" s="9">
        <f t="shared" ca="1" si="1"/>
        <v>0</v>
      </c>
    </row>
    <row r="55" spans="2:6" s="6" customFormat="1" x14ac:dyDescent="0.25">
      <c r="B55" s="6">
        <v>23</v>
      </c>
      <c r="C55" s="28">
        <f t="shared" ca="1" si="2"/>
        <v>0.29456786794340672</v>
      </c>
      <c r="D55" s="29">
        <f t="shared" ca="1" si="0"/>
        <v>4.2680501328182789E-2</v>
      </c>
      <c r="F55" s="9">
        <f t="shared" ca="1" si="1"/>
        <v>1</v>
      </c>
    </row>
    <row r="56" spans="2:6" s="6" customFormat="1" x14ac:dyDescent="0.25">
      <c r="B56" s="6">
        <v>24</v>
      </c>
      <c r="C56" s="28">
        <f t="shared" ca="1" si="2"/>
        <v>0.87216440363026526</v>
      </c>
      <c r="D56" s="29">
        <f t="shared" ca="1" si="0"/>
        <v>0.22672944139093909</v>
      </c>
      <c r="F56" s="9">
        <f t="shared" ca="1" si="1"/>
        <v>1</v>
      </c>
    </row>
    <row r="57" spans="2:6" s="6" customFormat="1" x14ac:dyDescent="0.25">
      <c r="B57" s="6">
        <v>25</v>
      </c>
      <c r="C57" s="28">
        <f t="shared" ca="1" si="2"/>
        <v>0.42221125790337721</v>
      </c>
      <c r="D57" s="29">
        <f t="shared" ca="1" si="0"/>
        <v>6.6270382949699641E-2</v>
      </c>
      <c r="F57" s="9">
        <f t="shared" ca="1" si="1"/>
        <v>1</v>
      </c>
    </row>
    <row r="58" spans="2:6" s="6" customFormat="1" x14ac:dyDescent="0.25">
      <c r="B58" s="6">
        <v>26</v>
      </c>
      <c r="C58" s="28">
        <f t="shared" ca="1" si="2"/>
        <v>0.5753405037952386</v>
      </c>
      <c r="D58" s="29">
        <f t="shared" ca="1" si="0"/>
        <v>0.10152684616240271</v>
      </c>
      <c r="F58" s="9">
        <f t="shared" ca="1" si="1"/>
        <v>1</v>
      </c>
    </row>
    <row r="59" spans="2:6" s="6" customFormat="1" x14ac:dyDescent="0.25">
      <c r="B59" s="6">
        <v>27</v>
      </c>
      <c r="C59" s="28">
        <f t="shared" ca="1" si="2"/>
        <v>0.5934494249511818</v>
      </c>
      <c r="D59" s="29">
        <f t="shared" ca="1" si="0"/>
        <v>0.1064078962673054</v>
      </c>
      <c r="F59" s="9">
        <f t="shared" ca="1" si="1"/>
        <v>1</v>
      </c>
    </row>
    <row r="60" spans="2:6" s="6" customFormat="1" x14ac:dyDescent="0.25">
      <c r="B60" s="6">
        <v>28</v>
      </c>
      <c r="C60" s="28">
        <f t="shared" ca="1" si="2"/>
        <v>0.72335587103269472</v>
      </c>
      <c r="D60" s="29">
        <f t="shared" ca="1" si="0"/>
        <v>0.14839111819565987</v>
      </c>
      <c r="F60" s="9">
        <f t="shared" ca="1" si="1"/>
        <v>1</v>
      </c>
    </row>
    <row r="61" spans="2:6" s="6" customFormat="1" x14ac:dyDescent="0.25">
      <c r="B61" s="6">
        <v>29</v>
      </c>
      <c r="C61" s="28">
        <f t="shared" ca="1" si="2"/>
        <v>0.18032578699125401</v>
      </c>
      <c r="D61" s="29">
        <f t="shared" ca="1" si="0"/>
        <v>2.4549672113009596E-2</v>
      </c>
      <c r="F61" s="9">
        <f t="shared" ca="1" si="1"/>
        <v>1</v>
      </c>
    </row>
    <row r="62" spans="2:6" s="6" customFormat="1" x14ac:dyDescent="0.25">
      <c r="B62" s="6">
        <v>30</v>
      </c>
      <c r="C62" s="28">
        <f t="shared" ca="1" si="2"/>
        <v>0.28603494256823214</v>
      </c>
      <c r="D62" s="29">
        <f t="shared" ca="1" si="0"/>
        <v>4.1240633758430179E-2</v>
      </c>
      <c r="F62" s="9">
        <f t="shared" ca="1" si="1"/>
        <v>1</v>
      </c>
    </row>
    <row r="63" spans="2:6" s="6" customFormat="1" x14ac:dyDescent="0.25">
      <c r="B63" s="6">
        <v>31</v>
      </c>
      <c r="C63" s="28">
        <f t="shared" ca="1" si="2"/>
        <v>0.55713736329571162</v>
      </c>
      <c r="D63" s="29">
        <f t="shared" ca="1" si="0"/>
        <v>9.6800621289207189E-2</v>
      </c>
      <c r="F63" s="9">
        <f t="shared" ca="1" si="1"/>
        <v>1</v>
      </c>
    </row>
    <row r="64" spans="2:6" s="6" customFormat="1" x14ac:dyDescent="0.25">
      <c r="B64" s="6">
        <v>32</v>
      </c>
      <c r="C64" s="28">
        <f t="shared" ca="1" si="2"/>
        <v>0.3600808416534389</v>
      </c>
      <c r="D64" s="29">
        <f t="shared" ca="1" si="0"/>
        <v>5.427332450090034E-2</v>
      </c>
      <c r="F64" s="9">
        <f t="shared" ca="1" si="1"/>
        <v>1</v>
      </c>
    </row>
    <row r="65" spans="2:6" s="6" customFormat="1" x14ac:dyDescent="0.25">
      <c r="B65" s="6">
        <v>33</v>
      </c>
      <c r="C65" s="28">
        <f t="shared" ca="1" si="2"/>
        <v>0.81309906780944952</v>
      </c>
      <c r="D65" s="29">
        <f t="shared" ca="1" si="0"/>
        <v>0.18912962575484049</v>
      </c>
      <c r="F65" s="9">
        <f t="shared" ca="1" si="1"/>
        <v>1</v>
      </c>
    </row>
    <row r="66" spans="2:6" s="6" customFormat="1" x14ac:dyDescent="0.25">
      <c r="B66" s="6">
        <v>34</v>
      </c>
      <c r="C66" s="28">
        <f t="shared" ca="1" si="2"/>
        <v>0.57785716779547458</v>
      </c>
      <c r="D66" s="29">
        <f t="shared" ca="1" si="0"/>
        <v>0.10219415712085111</v>
      </c>
      <c r="F66" s="9">
        <f t="shared" ca="1" si="1"/>
        <v>1</v>
      </c>
    </row>
    <row r="67" spans="2:6" s="6" customFormat="1" x14ac:dyDescent="0.25">
      <c r="B67" s="6">
        <v>35</v>
      </c>
      <c r="C67" s="28">
        <f t="shared" ca="1" si="2"/>
        <v>0.23535776711138789</v>
      </c>
      <c r="D67" s="29">
        <f t="shared" ca="1" si="0"/>
        <v>3.2987060938865199E-2</v>
      </c>
      <c r="F67" s="9">
        <f t="shared" ca="1" si="1"/>
        <v>1</v>
      </c>
    </row>
    <row r="68" spans="2:6" s="6" customFormat="1" x14ac:dyDescent="0.25">
      <c r="B68" s="6">
        <v>36</v>
      </c>
      <c r="C68" s="28">
        <f t="shared" ca="1" si="2"/>
        <v>0.62972537014592278</v>
      </c>
      <c r="D68" s="29">
        <f t="shared" ca="1" si="0"/>
        <v>0.11678691509045169</v>
      </c>
      <c r="F68" s="9">
        <f t="shared" ca="1" si="1"/>
        <v>1</v>
      </c>
    </row>
    <row r="69" spans="2:6" s="6" customFormat="1" x14ac:dyDescent="0.25">
      <c r="B69" s="6">
        <v>37</v>
      </c>
      <c r="C69" s="28">
        <f t="shared" ca="1" si="2"/>
        <v>0.95681505851970572</v>
      </c>
      <c r="D69" s="29">
        <f t="shared" ca="1" si="0"/>
        <v>0.324824706444511</v>
      </c>
      <c r="F69" s="9">
        <f t="shared" ca="1" si="1"/>
        <v>0</v>
      </c>
    </row>
    <row r="70" spans="2:6" s="6" customFormat="1" x14ac:dyDescent="0.25">
      <c r="B70" s="6">
        <v>38</v>
      </c>
      <c r="C70" s="28">
        <f t="shared" ca="1" si="2"/>
        <v>0.65186102368181764</v>
      </c>
      <c r="D70" s="29">
        <f t="shared" ca="1" si="0"/>
        <v>0.12356627455963154</v>
      </c>
      <c r="F70" s="9">
        <f t="shared" ca="1" si="1"/>
        <v>1</v>
      </c>
    </row>
    <row r="71" spans="2:6" s="6" customFormat="1" x14ac:dyDescent="0.25">
      <c r="B71" s="6">
        <v>39</v>
      </c>
      <c r="C71" s="28">
        <f t="shared" ca="1" si="2"/>
        <v>0.5860373794071212</v>
      </c>
      <c r="D71" s="29">
        <f t="shared" ca="1" si="0"/>
        <v>0.10438751117347078</v>
      </c>
      <c r="F71" s="9">
        <f t="shared" ca="1" si="1"/>
        <v>1</v>
      </c>
    </row>
    <row r="72" spans="2:6" s="6" customFormat="1" x14ac:dyDescent="0.25">
      <c r="B72" s="6">
        <v>40</v>
      </c>
      <c r="C72" s="28">
        <f t="shared" ca="1" si="2"/>
        <v>0.22979787359375681</v>
      </c>
      <c r="D72" s="29">
        <f t="shared" ca="1" si="0"/>
        <v>3.2110921980761695E-2</v>
      </c>
      <c r="F72" s="9">
        <f t="shared" ca="1" si="1"/>
        <v>1</v>
      </c>
    </row>
    <row r="73" spans="2:6" s="6" customFormat="1" x14ac:dyDescent="0.25">
      <c r="B73" s="6">
        <v>41</v>
      </c>
      <c r="C73" s="28">
        <f t="shared" ca="1" si="2"/>
        <v>0.15299664703194871</v>
      </c>
      <c r="D73" s="29">
        <f t="shared" ca="1" si="0"/>
        <v>2.054239832145446E-2</v>
      </c>
      <c r="F73" s="9">
        <f t="shared" ca="1" si="1"/>
        <v>1</v>
      </c>
    </row>
    <row r="74" spans="2:6" s="6" customFormat="1" x14ac:dyDescent="0.25">
      <c r="B74" s="6">
        <v>42</v>
      </c>
      <c r="C74" s="28">
        <f t="shared" ca="1" si="2"/>
        <v>0.3475172598265811</v>
      </c>
      <c r="D74" s="29">
        <f t="shared" ca="1" si="0"/>
        <v>5.1972078400745934E-2</v>
      </c>
      <c r="F74" s="9">
        <f t="shared" ca="1" si="1"/>
        <v>1</v>
      </c>
    </row>
    <row r="75" spans="2:6" s="6" customFormat="1" x14ac:dyDescent="0.25">
      <c r="B75" s="6">
        <v>43</v>
      </c>
      <c r="C75" s="28">
        <f t="shared" ca="1" si="2"/>
        <v>0.81235377840927159</v>
      </c>
      <c r="D75" s="29">
        <f t="shared" ca="1" si="0"/>
        <v>0.18872614903131557</v>
      </c>
      <c r="F75" s="9">
        <f t="shared" ca="1" si="1"/>
        <v>1</v>
      </c>
    </row>
    <row r="76" spans="2:6" s="6" customFormat="1" x14ac:dyDescent="0.25">
      <c r="B76" s="6">
        <v>44</v>
      </c>
      <c r="C76" s="28">
        <f t="shared" ca="1" si="2"/>
        <v>3.8407948804159653E-2</v>
      </c>
      <c r="D76" s="29">
        <f t="shared" ca="1" si="0"/>
        <v>4.8836586538575652E-3</v>
      </c>
      <c r="F76" s="9">
        <f t="shared" ca="1" si="1"/>
        <v>1</v>
      </c>
    </row>
    <row r="77" spans="2:6" s="6" customFormat="1" x14ac:dyDescent="0.25">
      <c r="B77" s="6">
        <v>45</v>
      </c>
      <c r="C77" s="28">
        <f t="shared" ca="1" si="2"/>
        <v>0.39269322315312338</v>
      </c>
      <c r="D77" s="29">
        <f t="shared" ca="1" si="0"/>
        <v>6.0436762021631604E-2</v>
      </c>
      <c r="F77" s="9">
        <f t="shared" ca="1" si="1"/>
        <v>1</v>
      </c>
    </row>
    <row r="78" spans="2:6" s="6" customFormat="1" x14ac:dyDescent="0.25">
      <c r="B78" s="6">
        <v>46</v>
      </c>
      <c r="C78" s="28">
        <f t="shared" ca="1" si="2"/>
        <v>0.90621026608523647</v>
      </c>
      <c r="D78" s="29">
        <f t="shared" ca="1" si="0"/>
        <v>0.25609168512459912</v>
      </c>
      <c r="F78" s="9">
        <f t="shared" ca="1" si="1"/>
        <v>1</v>
      </c>
    </row>
    <row r="79" spans="2:6" s="6" customFormat="1" x14ac:dyDescent="0.25">
      <c r="B79" s="6">
        <v>47</v>
      </c>
      <c r="C79" s="28">
        <f t="shared" ca="1" si="2"/>
        <v>0.36330090726493336</v>
      </c>
      <c r="D79" s="29">
        <f t="shared" ca="1" si="0"/>
        <v>5.486949889330818E-2</v>
      </c>
      <c r="F79" s="9">
        <f t="shared" ca="1" si="1"/>
        <v>1</v>
      </c>
    </row>
    <row r="80" spans="2:6" s="6" customFormat="1" x14ac:dyDescent="0.25">
      <c r="B80" s="6">
        <v>48</v>
      </c>
      <c r="C80" s="28">
        <f t="shared" ca="1" si="2"/>
        <v>0.24401980528640788</v>
      </c>
      <c r="D80" s="29">
        <f t="shared" ca="1" si="0"/>
        <v>3.436321320107906E-2</v>
      </c>
      <c r="F80" s="9">
        <f t="shared" ca="1" si="1"/>
        <v>1</v>
      </c>
    </row>
    <row r="81" spans="2:6" s="6" customFormat="1" x14ac:dyDescent="0.25">
      <c r="B81" s="6">
        <v>49</v>
      </c>
      <c r="C81" s="28">
        <f t="shared" ca="1" si="2"/>
        <v>0.63899522911357531</v>
      </c>
      <c r="D81" s="29">
        <f t="shared" ca="1" si="0"/>
        <v>0.11958158517900164</v>
      </c>
      <c r="F81" s="9">
        <f t="shared" ca="1" si="1"/>
        <v>1</v>
      </c>
    </row>
    <row r="82" spans="2:6" s="6" customFormat="1" x14ac:dyDescent="0.25">
      <c r="B82" s="6">
        <v>50</v>
      </c>
      <c r="C82" s="28">
        <f t="shared" ca="1" si="2"/>
        <v>0.51840399893759037</v>
      </c>
      <c r="D82" s="29">
        <f t="shared" ca="1" si="0"/>
        <v>8.7284640588873419E-2</v>
      </c>
      <c r="F82" s="9">
        <f t="shared" ca="1" si="1"/>
        <v>1</v>
      </c>
    </row>
    <row r="83" spans="2:6" s="6" customFormat="1" x14ac:dyDescent="0.25">
      <c r="B83" s="6">
        <v>51</v>
      </c>
      <c r="C83" s="28">
        <f t="shared" ca="1" si="2"/>
        <v>0.50972879926505843</v>
      </c>
      <c r="D83" s="29">
        <f t="shared" ca="1" si="0"/>
        <v>8.5245514219174034E-2</v>
      </c>
      <c r="F83" s="9">
        <f t="shared" ca="1" si="1"/>
        <v>1</v>
      </c>
    </row>
    <row r="84" spans="2:6" s="6" customFormat="1" x14ac:dyDescent="0.25">
      <c r="B84" s="6">
        <v>52</v>
      </c>
      <c r="C84" s="28">
        <f t="shared" ca="1" si="2"/>
        <v>0.56525658359527553</v>
      </c>
      <c r="D84" s="29">
        <f t="shared" ca="1" si="0"/>
        <v>9.8887266391379347E-2</v>
      </c>
      <c r="F84" s="9">
        <f t="shared" ca="1" si="1"/>
        <v>1</v>
      </c>
    </row>
    <row r="85" spans="2:6" s="6" customFormat="1" x14ac:dyDescent="0.25">
      <c r="B85" s="6">
        <v>53</v>
      </c>
      <c r="C85" s="28">
        <f t="shared" ca="1" si="2"/>
        <v>0.91455728606631481</v>
      </c>
      <c r="D85" s="29">
        <f t="shared" ca="1" si="0"/>
        <v>0.26470878143600551</v>
      </c>
      <c r="F85" s="9">
        <f t="shared" ca="1" si="1"/>
        <v>1</v>
      </c>
    </row>
    <row r="86" spans="2:6" s="6" customFormat="1" x14ac:dyDescent="0.25">
      <c r="B86" s="6">
        <v>54</v>
      </c>
      <c r="C86" s="28">
        <f t="shared" ca="1" si="2"/>
        <v>0.22342948158047826</v>
      </c>
      <c r="D86" s="29">
        <f t="shared" ca="1" si="0"/>
        <v>3.111415214064547E-2</v>
      </c>
      <c r="F86" s="9">
        <f t="shared" ca="1" si="1"/>
        <v>1</v>
      </c>
    </row>
    <row r="87" spans="2:6" s="6" customFormat="1" x14ac:dyDescent="0.25">
      <c r="B87" s="6">
        <v>55</v>
      </c>
      <c r="C87" s="28">
        <f t="shared" ca="1" si="2"/>
        <v>0.84508090729150631</v>
      </c>
      <c r="D87" s="29">
        <f t="shared" ca="1" si="0"/>
        <v>0.2079308141474886</v>
      </c>
      <c r="F87" s="9">
        <f t="shared" ca="1" si="1"/>
        <v>1</v>
      </c>
    </row>
    <row r="88" spans="2:6" s="6" customFormat="1" x14ac:dyDescent="0.25">
      <c r="B88" s="6">
        <v>56</v>
      </c>
      <c r="C88" s="28">
        <f t="shared" ca="1" si="2"/>
        <v>0.53422543446659376</v>
      </c>
      <c r="D88" s="29">
        <f t="shared" ca="1" si="0"/>
        <v>9.1087719769025188E-2</v>
      </c>
      <c r="F88" s="9">
        <f t="shared" ca="1" si="1"/>
        <v>1</v>
      </c>
    </row>
    <row r="89" spans="2:6" s="6" customFormat="1" x14ac:dyDescent="0.25">
      <c r="B89" s="6">
        <v>57</v>
      </c>
      <c r="C89" s="28">
        <f t="shared" ca="1" si="2"/>
        <v>0.82614221343058136</v>
      </c>
      <c r="D89" s="29">
        <f t="shared" ca="1" si="0"/>
        <v>0.19642897570550211</v>
      </c>
      <c r="F89" s="9">
        <f t="shared" ca="1" si="1"/>
        <v>1</v>
      </c>
    </row>
    <row r="90" spans="2:6" s="6" customFormat="1" x14ac:dyDescent="0.25">
      <c r="B90" s="6">
        <v>58</v>
      </c>
      <c r="C90" s="28">
        <f t="shared" ca="1" si="2"/>
        <v>0.14122047521196446</v>
      </c>
      <c r="D90" s="29">
        <f t="shared" ca="1" si="0"/>
        <v>1.8850447362686394E-2</v>
      </c>
      <c r="F90" s="9">
        <f t="shared" ca="1" si="1"/>
        <v>1</v>
      </c>
    </row>
    <row r="91" spans="2:6" s="6" customFormat="1" x14ac:dyDescent="0.25">
      <c r="B91" s="6">
        <v>59</v>
      </c>
      <c r="C91" s="28">
        <f t="shared" ca="1" si="2"/>
        <v>0.83517379090345134</v>
      </c>
      <c r="D91" s="29">
        <f t="shared" ca="1" si="0"/>
        <v>0.20176956279967828</v>
      </c>
      <c r="F91" s="9">
        <f t="shared" ca="1" si="1"/>
        <v>1</v>
      </c>
    </row>
    <row r="92" spans="2:6" s="6" customFormat="1" x14ac:dyDescent="0.25">
      <c r="B92" s="6">
        <v>60</v>
      </c>
      <c r="C92" s="28">
        <f t="shared" ca="1" si="2"/>
        <v>0.45939293089214117</v>
      </c>
      <c r="D92" s="29">
        <f t="shared" ca="1" si="0"/>
        <v>7.4001645283679612E-2</v>
      </c>
      <c r="F92" s="9">
        <f t="shared" ca="1" si="1"/>
        <v>1</v>
      </c>
    </row>
    <row r="93" spans="2:6" s="6" customFormat="1" x14ac:dyDescent="0.25">
      <c r="B93" s="6">
        <v>61</v>
      </c>
      <c r="C93" s="28">
        <f t="shared" ca="1" si="2"/>
        <v>0.16930557259065182</v>
      </c>
      <c r="D93" s="29">
        <f t="shared" ca="1" si="0"/>
        <v>2.2919913609508739E-2</v>
      </c>
      <c r="F93" s="9">
        <f t="shared" ca="1" si="1"/>
        <v>1</v>
      </c>
    </row>
    <row r="94" spans="2:6" s="6" customFormat="1" x14ac:dyDescent="0.25">
      <c r="B94" s="6">
        <v>62</v>
      </c>
      <c r="C94" s="28">
        <f t="shared" ca="1" si="2"/>
        <v>0.1480488269997271</v>
      </c>
      <c r="D94" s="29">
        <f t="shared" ca="1" si="0"/>
        <v>1.9829024569793425E-2</v>
      </c>
      <c r="F94" s="9">
        <f t="shared" ca="1" si="1"/>
        <v>1</v>
      </c>
    </row>
    <row r="95" spans="2:6" s="6" customFormat="1" x14ac:dyDescent="0.25">
      <c r="B95" s="6">
        <v>63</v>
      </c>
      <c r="C95" s="28">
        <f t="shared" ca="1" si="2"/>
        <v>2.9755728507122492E-2</v>
      </c>
      <c r="D95" s="29">
        <f t="shared" ca="1" si="0"/>
        <v>3.7688067665525913E-3</v>
      </c>
      <c r="F95" s="9">
        <f t="shared" ca="1" si="1"/>
        <v>1</v>
      </c>
    </row>
    <row r="96" spans="2:6" s="6" customFormat="1" x14ac:dyDescent="0.25">
      <c r="B96" s="6">
        <v>64</v>
      </c>
      <c r="C96" s="28">
        <f t="shared" ca="1" si="2"/>
        <v>0.22244395635018299</v>
      </c>
      <c r="D96" s="29">
        <f t="shared" ca="1" si="0"/>
        <v>3.0960538964524515E-2</v>
      </c>
      <c r="F96" s="9">
        <f t="shared" ca="1" si="1"/>
        <v>1</v>
      </c>
    </row>
    <row r="97" spans="2:6" s="6" customFormat="1" x14ac:dyDescent="0.25">
      <c r="B97" s="6">
        <v>65</v>
      </c>
      <c r="C97" s="28">
        <f t="shared" ca="1" si="2"/>
        <v>0.20564156549913837</v>
      </c>
      <c r="D97" s="29">
        <f t="shared" ca="1" si="0"/>
        <v>2.8367430926984752E-2</v>
      </c>
      <c r="F97" s="9">
        <f t="shared" ca="1" si="1"/>
        <v>1</v>
      </c>
    </row>
    <row r="98" spans="2:6" s="6" customFormat="1" x14ac:dyDescent="0.25">
      <c r="B98" s="6">
        <v>66</v>
      </c>
      <c r="C98" s="28">
        <f t="shared" ca="1" si="2"/>
        <v>0.567380683772581</v>
      </c>
      <c r="D98" s="29">
        <f t="shared" ref="D98:D132" ca="1" si="3">BETAINV(C98,$C$5,$C$6)</f>
        <v>9.9438786438506455E-2</v>
      </c>
      <c r="F98" s="9">
        <f t="shared" ref="F98:F132" ca="1" si="4">IF(D98&gt;$D$13,0,1)</f>
        <v>1</v>
      </c>
    </row>
    <row r="99" spans="2:6" s="6" customFormat="1" x14ac:dyDescent="0.25">
      <c r="B99" s="6">
        <v>67</v>
      </c>
      <c r="C99" s="28">
        <f t="shared" ref="C99:C132" ca="1" si="5">RAND()</f>
        <v>0.29423852082674262</v>
      </c>
      <c r="D99" s="29">
        <f t="shared" ca="1" si="3"/>
        <v>4.262464442486795E-2</v>
      </c>
      <c r="F99" s="9">
        <f t="shared" ca="1" si="4"/>
        <v>1</v>
      </c>
    </row>
    <row r="100" spans="2:6" s="6" customFormat="1" x14ac:dyDescent="0.25">
      <c r="B100" s="6">
        <v>68</v>
      </c>
      <c r="C100" s="28">
        <f t="shared" ca="1" si="5"/>
        <v>0.17495543187877027</v>
      </c>
      <c r="D100" s="29">
        <f t="shared" ca="1" si="3"/>
        <v>2.3753081225079832E-2</v>
      </c>
      <c r="F100" s="9">
        <f t="shared" ca="1" si="4"/>
        <v>1</v>
      </c>
    </row>
    <row r="101" spans="2:6" s="6" customFormat="1" x14ac:dyDescent="0.25">
      <c r="B101" s="6">
        <v>69</v>
      </c>
      <c r="C101" s="28">
        <f t="shared" ca="1" si="5"/>
        <v>0.71823562685659414</v>
      </c>
      <c r="D101" s="29">
        <f t="shared" ca="1" si="3"/>
        <v>0.14643664869867545</v>
      </c>
      <c r="F101" s="9">
        <f t="shared" ca="1" si="4"/>
        <v>1</v>
      </c>
    </row>
    <row r="102" spans="2:6" s="6" customFormat="1" x14ac:dyDescent="0.25">
      <c r="B102" s="6">
        <v>70</v>
      </c>
      <c r="C102" s="28">
        <f t="shared" ca="1" si="5"/>
        <v>0.57085163100584979</v>
      </c>
      <c r="D102" s="29">
        <f t="shared" ca="1" si="3"/>
        <v>0.100345133994313</v>
      </c>
      <c r="F102" s="9">
        <f t="shared" ca="1" si="4"/>
        <v>1</v>
      </c>
    </row>
    <row r="103" spans="2:6" s="6" customFormat="1" x14ac:dyDescent="0.25">
      <c r="B103" s="6">
        <v>71</v>
      </c>
      <c r="C103" s="28">
        <f t="shared" ca="1" si="5"/>
        <v>0.82400142734595194</v>
      </c>
      <c r="D103" s="29">
        <f t="shared" ca="1" si="3"/>
        <v>0.19519874821348415</v>
      </c>
      <c r="F103" s="9">
        <f t="shared" ca="1" si="4"/>
        <v>1</v>
      </c>
    </row>
    <row r="104" spans="2:6" s="6" customFormat="1" x14ac:dyDescent="0.25">
      <c r="B104" s="6">
        <v>72</v>
      </c>
      <c r="C104" s="28">
        <f t="shared" ca="1" si="5"/>
        <v>0.66151069564368681</v>
      </c>
      <c r="D104" s="29">
        <f t="shared" ca="1" si="3"/>
        <v>0.12664035897521753</v>
      </c>
      <c r="F104" s="9">
        <f t="shared" ca="1" si="4"/>
        <v>1</v>
      </c>
    </row>
    <row r="105" spans="2:6" s="6" customFormat="1" x14ac:dyDescent="0.25">
      <c r="B105" s="6">
        <v>73</v>
      </c>
      <c r="C105" s="28">
        <f t="shared" ca="1" si="5"/>
        <v>0.66590122445363931</v>
      </c>
      <c r="D105" s="29">
        <f t="shared" ca="1" si="3"/>
        <v>0.12806449879750481</v>
      </c>
      <c r="F105" s="9">
        <f t="shared" ca="1" si="4"/>
        <v>1</v>
      </c>
    </row>
    <row r="106" spans="2:6" s="6" customFormat="1" x14ac:dyDescent="0.25">
      <c r="B106" s="6">
        <v>74</v>
      </c>
      <c r="C106" s="28">
        <f t="shared" ca="1" si="5"/>
        <v>0.52527779165487354</v>
      </c>
      <c r="D106" s="29">
        <f t="shared" ca="1" si="3"/>
        <v>8.8923292481927763E-2</v>
      </c>
      <c r="F106" s="9">
        <f t="shared" ca="1" si="4"/>
        <v>1</v>
      </c>
    </row>
    <row r="107" spans="2:6" s="6" customFormat="1" x14ac:dyDescent="0.25">
      <c r="B107" s="6">
        <v>75</v>
      </c>
      <c r="C107" s="28">
        <f t="shared" ca="1" si="5"/>
        <v>0.9141041387852552</v>
      </c>
      <c r="D107" s="29">
        <f t="shared" ca="1" si="3"/>
        <v>0.26422245462663196</v>
      </c>
      <c r="F107" s="9">
        <f t="shared" ca="1" si="4"/>
        <v>1</v>
      </c>
    </row>
    <row r="108" spans="2:6" s="6" customFormat="1" x14ac:dyDescent="0.25">
      <c r="B108" s="6">
        <v>76</v>
      </c>
      <c r="C108" s="28">
        <f t="shared" ca="1" si="5"/>
        <v>0.43954339047594482</v>
      </c>
      <c r="D108" s="29">
        <f t="shared" ca="1" si="3"/>
        <v>6.9818389384176741E-2</v>
      </c>
      <c r="F108" s="9">
        <f t="shared" ca="1" si="4"/>
        <v>1</v>
      </c>
    </row>
    <row r="109" spans="2:6" s="6" customFormat="1" x14ac:dyDescent="0.25">
      <c r="B109" s="6">
        <v>77</v>
      </c>
      <c r="C109" s="28">
        <f t="shared" ca="1" si="5"/>
        <v>0.49669139668642048</v>
      </c>
      <c r="D109" s="29">
        <f t="shared" ca="1" si="3"/>
        <v>8.2239642983256353E-2</v>
      </c>
      <c r="F109" s="9">
        <f t="shared" ca="1" si="4"/>
        <v>1</v>
      </c>
    </row>
    <row r="110" spans="2:6" s="6" customFormat="1" x14ac:dyDescent="0.25">
      <c r="B110" s="6">
        <v>78</v>
      </c>
      <c r="C110" s="28">
        <f t="shared" ca="1" si="5"/>
        <v>0.64895990322418828</v>
      </c>
      <c r="D110" s="29">
        <f t="shared" ca="1" si="3"/>
        <v>0.12265664577081759</v>
      </c>
      <c r="F110" s="9">
        <f t="shared" ca="1" si="4"/>
        <v>1</v>
      </c>
    </row>
    <row r="111" spans="2:6" s="6" customFormat="1" x14ac:dyDescent="0.25">
      <c r="B111" s="6">
        <v>79</v>
      </c>
      <c r="C111" s="28">
        <f t="shared" ca="1" si="5"/>
        <v>0.67483630276147322</v>
      </c>
      <c r="D111" s="29">
        <f t="shared" ca="1" si="3"/>
        <v>0.13101404617585599</v>
      </c>
      <c r="F111" s="9">
        <f t="shared" ca="1" si="4"/>
        <v>1</v>
      </c>
    </row>
    <row r="112" spans="2:6" s="6" customFormat="1" x14ac:dyDescent="0.25">
      <c r="B112" s="6">
        <v>80</v>
      </c>
      <c r="C112" s="28">
        <f t="shared" ca="1" si="5"/>
        <v>0.41784854927136872</v>
      </c>
      <c r="D112" s="29">
        <f t="shared" ca="1" si="3"/>
        <v>6.5391991700390575E-2</v>
      </c>
      <c r="F112" s="9">
        <f t="shared" ca="1" si="4"/>
        <v>1</v>
      </c>
    </row>
    <row r="113" spans="2:6" s="6" customFormat="1" x14ac:dyDescent="0.25">
      <c r="B113" s="6">
        <v>81</v>
      </c>
      <c r="C113" s="28">
        <f t="shared" ca="1" si="5"/>
        <v>2.5351446503487085E-2</v>
      </c>
      <c r="D113" s="29">
        <f t="shared" ca="1" si="3"/>
        <v>3.2046454915424004E-3</v>
      </c>
      <c r="F113" s="9">
        <f t="shared" ca="1" si="4"/>
        <v>1</v>
      </c>
    </row>
    <row r="114" spans="2:6" s="6" customFormat="1" x14ac:dyDescent="0.25">
      <c r="B114" s="6">
        <v>82</v>
      </c>
      <c r="C114" s="28">
        <f t="shared" ca="1" si="5"/>
        <v>0.35648863954423304</v>
      </c>
      <c r="D114" s="29">
        <f t="shared" ca="1" si="3"/>
        <v>5.3611341044543952E-2</v>
      </c>
      <c r="F114" s="9">
        <f t="shared" ca="1" si="4"/>
        <v>1</v>
      </c>
    </row>
    <row r="115" spans="2:6" s="6" customFormat="1" x14ac:dyDescent="0.25">
      <c r="B115" s="6">
        <v>83</v>
      </c>
      <c r="C115" s="28">
        <f t="shared" ca="1" si="5"/>
        <v>0.62388399770187342</v>
      </c>
      <c r="D115" s="29">
        <f t="shared" ca="1" si="3"/>
        <v>0.11505714643580012</v>
      </c>
      <c r="F115" s="9">
        <f t="shared" ca="1" si="4"/>
        <v>1</v>
      </c>
    </row>
    <row r="116" spans="2:6" s="6" customFormat="1" x14ac:dyDescent="0.25">
      <c r="B116" s="6">
        <v>84</v>
      </c>
      <c r="C116" s="28">
        <f t="shared" ca="1" si="5"/>
        <v>0.65385307935336245</v>
      </c>
      <c r="D116" s="29">
        <f t="shared" ca="1" si="3"/>
        <v>0.1241947201129433</v>
      </c>
      <c r="F116" s="9">
        <f t="shared" ca="1" si="4"/>
        <v>1</v>
      </c>
    </row>
    <row r="117" spans="2:6" s="6" customFormat="1" x14ac:dyDescent="0.25">
      <c r="B117" s="6">
        <v>85</v>
      </c>
      <c r="C117" s="28">
        <f t="shared" ca="1" si="5"/>
        <v>0.44209704282367612</v>
      </c>
      <c r="D117" s="29">
        <f t="shared" ca="1" si="3"/>
        <v>7.0349230894091161E-2</v>
      </c>
      <c r="F117" s="9">
        <f t="shared" ca="1" si="4"/>
        <v>1</v>
      </c>
    </row>
    <row r="118" spans="2:6" s="6" customFormat="1" x14ac:dyDescent="0.25">
      <c r="B118" s="6">
        <v>86</v>
      </c>
      <c r="C118" s="28">
        <f t="shared" ca="1" si="5"/>
        <v>0.83230523810897417</v>
      </c>
      <c r="D118" s="29">
        <f t="shared" ca="1" si="3"/>
        <v>0.20004614218165906</v>
      </c>
      <c r="F118" s="9">
        <f t="shared" ca="1" si="4"/>
        <v>1</v>
      </c>
    </row>
    <row r="119" spans="2:6" s="6" customFormat="1" x14ac:dyDescent="0.25">
      <c r="B119" s="6">
        <v>87</v>
      </c>
      <c r="C119" s="28">
        <f t="shared" ca="1" si="5"/>
        <v>0.12441188085707733</v>
      </c>
      <c r="D119" s="29">
        <f t="shared" ca="1" si="3"/>
        <v>1.6470292075640703E-2</v>
      </c>
      <c r="F119" s="9">
        <f t="shared" ca="1" si="4"/>
        <v>1</v>
      </c>
    </row>
    <row r="120" spans="2:6" s="6" customFormat="1" x14ac:dyDescent="0.25">
      <c r="B120" s="6">
        <v>88</v>
      </c>
      <c r="C120" s="28">
        <f t="shared" ca="1" si="5"/>
        <v>0.56178088493248468</v>
      </c>
      <c r="D120" s="29">
        <f t="shared" ca="1" si="3"/>
        <v>9.7989870441183347E-2</v>
      </c>
      <c r="F120" s="9">
        <f t="shared" ca="1" si="4"/>
        <v>1</v>
      </c>
    </row>
    <row r="121" spans="2:6" s="6" customFormat="1" x14ac:dyDescent="0.25">
      <c r="B121" s="6">
        <v>89</v>
      </c>
      <c r="C121" s="28">
        <f t="shared" ca="1" si="5"/>
        <v>0.55558465572311988</v>
      </c>
      <c r="D121" s="29">
        <f t="shared" ca="1" si="3"/>
        <v>9.6405392062243078E-2</v>
      </c>
      <c r="F121" s="9">
        <f t="shared" ca="1" si="4"/>
        <v>1</v>
      </c>
    </row>
    <row r="122" spans="2:6" s="6" customFormat="1" x14ac:dyDescent="0.25">
      <c r="B122" s="6">
        <v>90</v>
      </c>
      <c r="C122" s="28">
        <f t="shared" ca="1" si="5"/>
        <v>0.14745907994866991</v>
      </c>
      <c r="D122" s="29">
        <f t="shared" ca="1" si="3"/>
        <v>1.9744237147058811E-2</v>
      </c>
      <c r="F122" s="9">
        <f t="shared" ca="1" si="4"/>
        <v>1</v>
      </c>
    </row>
    <row r="123" spans="2:6" s="6" customFormat="1" x14ac:dyDescent="0.25">
      <c r="B123" s="6">
        <v>91</v>
      </c>
      <c r="C123" s="28">
        <f t="shared" ca="1" si="5"/>
        <v>0.2797863481947247</v>
      </c>
      <c r="D123" s="29">
        <f t="shared" ca="1" si="3"/>
        <v>4.0195749985135837E-2</v>
      </c>
      <c r="F123" s="9">
        <f t="shared" ca="1" si="4"/>
        <v>1</v>
      </c>
    </row>
    <row r="124" spans="2:6" s="6" customFormat="1" x14ac:dyDescent="0.25">
      <c r="B124" s="6">
        <v>92</v>
      </c>
      <c r="C124" s="28">
        <f t="shared" ca="1" si="5"/>
        <v>0.78601597059428097</v>
      </c>
      <c r="D124" s="29">
        <f t="shared" ca="1" si="3"/>
        <v>0.17529681815155651</v>
      </c>
      <c r="F124" s="9">
        <f t="shared" ca="1" si="4"/>
        <v>1</v>
      </c>
    </row>
    <row r="125" spans="2:6" s="6" customFormat="1" x14ac:dyDescent="0.25">
      <c r="B125" s="6">
        <v>93</v>
      </c>
      <c r="C125" s="28">
        <f t="shared" ca="1" si="5"/>
        <v>0.91225295546649787</v>
      </c>
      <c r="D125" s="29">
        <f t="shared" ca="1" si="3"/>
        <v>0.26225875855848002</v>
      </c>
      <c r="F125" s="9">
        <f t="shared" ca="1" si="4"/>
        <v>1</v>
      </c>
    </row>
    <row r="126" spans="2:6" s="6" customFormat="1" x14ac:dyDescent="0.25">
      <c r="B126" s="6">
        <v>94</v>
      </c>
      <c r="C126" s="28">
        <f t="shared" ca="1" si="5"/>
        <v>0.94112765763196504</v>
      </c>
      <c r="D126" s="29">
        <f t="shared" ca="1" si="3"/>
        <v>0.29815871024622365</v>
      </c>
      <c r="F126" s="9">
        <f t="shared" ca="1" si="4"/>
        <v>1</v>
      </c>
    </row>
    <row r="127" spans="2:6" s="6" customFormat="1" x14ac:dyDescent="0.25">
      <c r="B127" s="6">
        <v>95</v>
      </c>
      <c r="C127" s="28">
        <f t="shared" ca="1" si="5"/>
        <v>0.31142912532138611</v>
      </c>
      <c r="D127" s="29">
        <f t="shared" ca="1" si="3"/>
        <v>4.5571100308310637E-2</v>
      </c>
      <c r="F127" s="9">
        <f t="shared" ca="1" si="4"/>
        <v>1</v>
      </c>
    </row>
    <row r="128" spans="2:6" s="6" customFormat="1" x14ac:dyDescent="0.25">
      <c r="B128" s="6">
        <v>96</v>
      </c>
      <c r="C128" s="28">
        <f t="shared" ca="1" si="5"/>
        <v>0.71577563810890077</v>
      </c>
      <c r="D128" s="29">
        <f t="shared" ca="1" si="3"/>
        <v>0.14550866614991842</v>
      </c>
      <c r="F128" s="9">
        <f t="shared" ca="1" si="4"/>
        <v>1</v>
      </c>
    </row>
    <row r="129" spans="2:6" s="6" customFormat="1" x14ac:dyDescent="0.25">
      <c r="B129" s="6">
        <v>97</v>
      </c>
      <c r="C129" s="28">
        <f t="shared" ca="1" si="5"/>
        <v>0.83114786949164954</v>
      </c>
      <c r="D129" s="29">
        <f t="shared" ca="1" si="3"/>
        <v>0.19935809300570684</v>
      </c>
      <c r="F129" s="9">
        <f t="shared" ca="1" si="4"/>
        <v>1</v>
      </c>
    </row>
    <row r="130" spans="2:6" s="6" customFormat="1" x14ac:dyDescent="0.25">
      <c r="B130" s="6">
        <v>98</v>
      </c>
      <c r="C130" s="28">
        <f t="shared" ca="1" si="5"/>
        <v>3.6260836480663805E-2</v>
      </c>
      <c r="D130" s="29">
        <f t="shared" ca="1" si="3"/>
        <v>4.6061836276737452E-3</v>
      </c>
      <c r="F130" s="9">
        <f t="shared" ca="1" si="4"/>
        <v>1</v>
      </c>
    </row>
    <row r="131" spans="2:6" s="6" customFormat="1" x14ac:dyDescent="0.25">
      <c r="B131" s="6">
        <v>99</v>
      </c>
      <c r="C131" s="28">
        <f t="shared" ca="1" si="5"/>
        <v>0.16481860310736318</v>
      </c>
      <c r="D131" s="29">
        <f t="shared" ca="1" si="3"/>
        <v>2.2261758982069235E-2</v>
      </c>
      <c r="F131" s="9">
        <f t="shared" ca="1" si="4"/>
        <v>1</v>
      </c>
    </row>
    <row r="132" spans="2:6" s="6" customFormat="1" x14ac:dyDescent="0.25">
      <c r="B132" s="6">
        <v>100</v>
      </c>
      <c r="C132" s="28">
        <f t="shared" ca="1" si="5"/>
        <v>0.36178121384046646</v>
      </c>
      <c r="D132" s="29">
        <f t="shared" ca="1" si="3"/>
        <v>5.4587809511180807E-2</v>
      </c>
      <c r="F132" s="9">
        <f t="shared" ca="1" si="4"/>
        <v>1</v>
      </c>
    </row>
  </sheetData>
  <sheetProtection sheet="1" objects="1" scenarios="1"/>
  <hyperlinks>
    <hyperlink ref="G1" r:id="rId1" xr:uid="{00000000-0004-0000-0300-000000000000}"/>
    <hyperlink ref="F15" r:id="rId2" xr:uid="{00000000-0004-0000-0300-000001000000}"/>
  </hyperlinks>
  <pageMargins left="0.7" right="0.7" top="0.75" bottom="0.75" header="0.3" footer="0.3"/>
  <pageSetup orientation="portrait" verticalDpi="0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3"/>
  <sheetViews>
    <sheetView zoomScale="90" zoomScaleNormal="90" workbookViewId="0">
      <selection activeCell="C6" sqref="C6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4.28515625" customWidth="1"/>
    <col min="5" max="5" width="15.7109375" customWidth="1"/>
    <col min="6" max="6" width="18.85546875" customWidth="1"/>
    <col min="7" max="7" width="27" customWidth="1"/>
    <col min="8" max="8" width="26.42578125" customWidth="1"/>
    <col min="9" max="9" width="18.5703125" customWidth="1"/>
    <col min="10" max="10" width="12.85546875" bestFit="1" customWidth="1"/>
  </cols>
  <sheetData>
    <row r="1" spans="1:10" s="7" customFormat="1" ht="26.25" x14ac:dyDescent="0.4">
      <c r="A1" s="7" t="s">
        <v>228</v>
      </c>
      <c r="G1" s="41" t="s">
        <v>229</v>
      </c>
    </row>
    <row r="2" spans="1:10" s="7" customFormat="1" ht="11.25" customHeight="1" x14ac:dyDescent="0.4"/>
    <row r="3" spans="1:10" s="7" customFormat="1" ht="19.5" customHeight="1" x14ac:dyDescent="0.4">
      <c r="C3" s="8" t="s">
        <v>230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231</v>
      </c>
      <c r="C5" s="92">
        <v>0.01</v>
      </c>
      <c r="D5" s="19" t="str">
        <f>"per "&amp;LEFT(D6, LEN(D6)-1)</f>
        <v>per demand</v>
      </c>
      <c r="E5" s="3" t="s">
        <v>56</v>
      </c>
      <c r="F5" s="125" t="s">
        <v>121</v>
      </c>
      <c r="G5" s="126" t="s">
        <v>232</v>
      </c>
      <c r="H5" s="3" t="s">
        <v>107</v>
      </c>
      <c r="I5" s="3" t="str">
        <f>B5</f>
        <v>p =</v>
      </c>
      <c r="J5" s="45">
        <f>C5</f>
        <v>0.01</v>
      </c>
    </row>
    <row r="6" spans="1:10" s="1" customFormat="1" ht="19.5" thickBot="1" x14ac:dyDescent="0.35">
      <c r="A6" s="2"/>
      <c r="B6" s="3" t="s">
        <v>177</v>
      </c>
      <c r="C6" s="57">
        <v>5</v>
      </c>
      <c r="D6" s="64" t="s">
        <v>244</v>
      </c>
      <c r="F6" s="125"/>
      <c r="G6" s="126"/>
      <c r="H6" s="63" t="s">
        <v>233</v>
      </c>
      <c r="I6" s="3" t="str">
        <f>B6</f>
        <v>n =</v>
      </c>
      <c r="J6" s="40">
        <f>C6</f>
        <v>5</v>
      </c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18.75" x14ac:dyDescent="0.3">
      <c r="A9" s="4"/>
      <c r="B9" s="5"/>
      <c r="C9" s="12"/>
      <c r="D9" s="11" t="s">
        <v>122</v>
      </c>
      <c r="E9" s="13" t="s">
        <v>234</v>
      </c>
      <c r="F9" s="14" t="s">
        <v>235</v>
      </c>
      <c r="G9" s="15" t="s">
        <v>236</v>
      </c>
      <c r="H9" s="16" t="s">
        <v>237</v>
      </c>
      <c r="I9" s="102" t="s">
        <v>238</v>
      </c>
    </row>
    <row r="10" spans="1:10" s="6" customFormat="1" ht="10.5" customHeight="1" x14ac:dyDescent="0.25"/>
    <row r="11" spans="1:10" s="19" customFormat="1" ht="19.5" thickBot="1" x14ac:dyDescent="0.35">
      <c r="A11" s="2" t="s">
        <v>239</v>
      </c>
    </row>
    <row r="12" spans="1:10" s="1" customFormat="1" ht="19.5" thickBot="1" x14ac:dyDescent="0.35">
      <c r="C12" s="3" t="s">
        <v>20</v>
      </c>
      <c r="D12" s="57">
        <v>0</v>
      </c>
    </row>
    <row r="13" spans="1:10" s="1" customFormat="1" ht="19.5" thickBot="1" x14ac:dyDescent="0.35">
      <c r="C13" s="3" t="s">
        <v>21</v>
      </c>
      <c r="D13" s="57">
        <v>1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&lt; X ≤ " &amp; D13 &amp;") ="</f>
        <v>Pr(0 &lt; X ≤ 1) =</v>
      </c>
      <c r="D15" s="46">
        <f>BINOMDIST($D$13,$C$6,$C$5,TRUE)-BINOMDIST($D$12,$C$6,$C$5,TRUE)</f>
        <v>4.8029800500000053E-2</v>
      </c>
    </row>
    <row r="16" spans="1:10" s="1" customFormat="1" ht="15.75" x14ac:dyDescent="0.25">
      <c r="C16" s="20" t="str">
        <f>"Pr(X ≤ "&amp;D12&amp;") ="</f>
        <v>Pr(X ≤ 0) =</v>
      </c>
      <c r="D16" s="46">
        <f>BINOMDIST($D$12,$C$6,$C$5,TRUE)</f>
        <v>0.95099004990000002</v>
      </c>
    </row>
    <row r="17" spans="1:7" s="1" customFormat="1" ht="15.75" x14ac:dyDescent="0.25">
      <c r="C17" s="20" t="str">
        <f>"Pr(X ≤ " &amp; D13 &amp; ") ="</f>
        <v>Pr(X ≤ 1) =</v>
      </c>
      <c r="D17" s="46">
        <f>BINOMDIST($D$13,$C$6,$C$5,TRUE)</f>
        <v>0.99901985040000008</v>
      </c>
    </row>
    <row r="18" spans="1:7" s="1" customFormat="1" ht="15.75" x14ac:dyDescent="0.25">
      <c r="C18" s="20" t="str">
        <f>"Pr(X &gt; " &amp; D13 &amp;") ="</f>
        <v>Pr(X &gt; 1) =</v>
      </c>
      <c r="D18" s="46">
        <f>1-BINOMDIST($D$13,$C$6, $C$5,TRUE)</f>
        <v>9.8014959999992435E-4</v>
      </c>
    </row>
    <row r="19" spans="1:7" s="1" customFormat="1" ht="15.75" x14ac:dyDescent="0.25">
      <c r="C19" s="20" t="str">
        <f>"Pr(X = " &amp; D12 &amp; ") ="</f>
        <v>Pr(X = 0) =</v>
      </c>
      <c r="D19" s="46">
        <f>BINOMDIST(D12,$C$6,$C$5,0)</f>
        <v>0.95099004990000002</v>
      </c>
    </row>
    <row r="20" spans="1:7" s="1" customFormat="1" ht="15.75" x14ac:dyDescent="0.25">
      <c r="C20" s="20"/>
      <c r="D20" s="24"/>
    </row>
    <row r="21" spans="1:7" s="1" customFormat="1" ht="15.75" x14ac:dyDescent="0.25">
      <c r="C21" s="20" t="s">
        <v>52</v>
      </c>
      <c r="D21" s="46">
        <f>C6*C5</f>
        <v>0.05</v>
      </c>
    </row>
    <row r="22" spans="1:7" s="1" customFormat="1" ht="15.75" x14ac:dyDescent="0.25">
      <c r="C22" s="20" t="s">
        <v>38</v>
      </c>
      <c r="D22" s="46">
        <f>SQRT(C6*C5*(1-C5))</f>
        <v>0.22248595461286991</v>
      </c>
    </row>
    <row r="23" spans="1:7" s="1" customFormat="1" ht="15.75" x14ac:dyDescent="0.25">
      <c r="C23" s="20" t="s">
        <v>34</v>
      </c>
      <c r="D23" s="46">
        <f>C6*C5*(1-C5)</f>
        <v>4.9500000000000002E-2</v>
      </c>
    </row>
    <row r="24" spans="1:7" s="1" customFormat="1" ht="15.75" x14ac:dyDescent="0.25">
      <c r="C24" s="20"/>
      <c r="D24" s="21"/>
    </row>
    <row r="25" spans="1:7" s="1" customFormat="1" ht="15.75" x14ac:dyDescent="0.25">
      <c r="C25" s="20" t="s">
        <v>35</v>
      </c>
      <c r="D25" s="46">
        <f>CRITBINOM($C$6,$C$5,0.05)</f>
        <v>0</v>
      </c>
    </row>
    <row r="26" spans="1:7" s="1" customFormat="1" ht="15.75" x14ac:dyDescent="0.25">
      <c r="C26" s="20" t="s">
        <v>36</v>
      </c>
      <c r="D26" s="46">
        <f>CRITBINOM($C$6,$C$5,0.5)</f>
        <v>0</v>
      </c>
    </row>
    <row r="27" spans="1:7" s="1" customFormat="1" ht="15.75" x14ac:dyDescent="0.25">
      <c r="C27" s="20" t="s">
        <v>37</v>
      </c>
      <c r="D27" s="46">
        <f>CRITBINOM($C$6,$C$5,0.95)</f>
        <v>0</v>
      </c>
    </row>
    <row r="28" spans="1:7" s="1" customFormat="1" x14ac:dyDescent="0.25"/>
    <row r="29" spans="1:7" s="6" customFormat="1" ht="18.75" x14ac:dyDescent="0.3">
      <c r="A29" s="4" t="s">
        <v>243</v>
      </c>
    </row>
    <row r="30" spans="1:7" s="6" customFormat="1" ht="13.5" customHeight="1" x14ac:dyDescent="0.3">
      <c r="A30" s="4"/>
    </row>
    <row r="31" spans="1:7" s="6" customFormat="1" ht="15" customHeight="1" x14ac:dyDescent="0.3">
      <c r="A31" s="4"/>
      <c r="C31" s="30" t="s">
        <v>44</v>
      </c>
      <c r="D31" s="32">
        <f ca="1">AVERAGE(D34:D133)</f>
        <v>0</v>
      </c>
      <c r="F31" s="30" t="s">
        <v>45</v>
      </c>
      <c r="G31" s="32">
        <f ca="1">STDEV(D34:D133)</f>
        <v>0</v>
      </c>
    </row>
    <row r="32" spans="1:7" s="6" customFormat="1" ht="16.5" customHeight="1" x14ac:dyDescent="0.3">
      <c r="A32" s="4"/>
    </row>
    <row r="33" spans="2:7" s="6" customFormat="1" ht="15.75" x14ac:dyDescent="0.25">
      <c r="B33" s="31" t="s">
        <v>41</v>
      </c>
      <c r="C33" s="31" t="s">
        <v>42</v>
      </c>
      <c r="D33" s="31" t="s">
        <v>43</v>
      </c>
      <c r="E33" s="33"/>
      <c r="F33" s="34" t="s">
        <v>46</v>
      </c>
    </row>
    <row r="34" spans="2:7" s="6" customFormat="1" x14ac:dyDescent="0.25">
      <c r="B34" s="6">
        <v>1</v>
      </c>
      <c r="C34" s="28">
        <f ca="1">RAND()</f>
        <v>0.68136181483274705</v>
      </c>
      <c r="D34" s="29">
        <f ca="1">IF(ISNA(INDEX(Calc_Area!$E$725:$E$749, MATCH(C34,Calc_Area!$H$725:$H$749,1 )))=FALSE,INDEX(Calc_Area!$E$725:$E$749, MATCH(C34,Calc_Area!$H$725:$H$749,1 )),0)</f>
        <v>0</v>
      </c>
      <c r="F34" s="9">
        <f ca="1">IF(D34&gt;$D$13,0,1)</f>
        <v>1</v>
      </c>
    </row>
    <row r="35" spans="2:7" s="6" customFormat="1" x14ac:dyDescent="0.25">
      <c r="B35" s="6">
        <v>2</v>
      </c>
      <c r="C35" s="28">
        <f ca="1">RAND()</f>
        <v>0.85980103763580507</v>
      </c>
      <c r="D35" s="29">
        <f ca="1">IF(ISNA(INDEX(Calc_Area!$E$725:$E$749, MATCH(C35,Calc_Area!$H$725:$H$749,1 )))=FALSE,INDEX(Calc_Area!$E$725:$E$749, MATCH(C35,Calc_Area!$H$725:$H$749,1 )),0)</f>
        <v>0</v>
      </c>
      <c r="F35" s="9">
        <f t="shared" ref="F35:F98" ca="1" si="0">IF(D35&gt;$D$13,0,1)</f>
        <v>1</v>
      </c>
      <c r="G35" s="36" t="s">
        <v>47</v>
      </c>
    </row>
    <row r="36" spans="2:7" s="6" customFormat="1" x14ac:dyDescent="0.25">
      <c r="B36" s="6">
        <v>3</v>
      </c>
      <c r="C36" s="28">
        <f t="shared" ref="C36:C99" ca="1" si="1">RAND()</f>
        <v>0.27048207181641915</v>
      </c>
      <c r="D36" s="29">
        <f ca="1">IF(ISNA(INDEX(Calc_Area!$E$725:$E$749, MATCH(C36,Calc_Area!$H$725:$H$749,1 )))=FALSE,INDEX(Calc_Area!$E$725:$E$749, MATCH(C36,Calc_Area!$H$725:$H$749,1 )),0)</f>
        <v>0</v>
      </c>
      <c r="F36" s="9">
        <f t="shared" ca="1" si="0"/>
        <v>1</v>
      </c>
      <c r="G36" s="47">
        <f ca="1">SUM(F34:F133)/100</f>
        <v>1</v>
      </c>
    </row>
    <row r="37" spans="2:7" s="6" customFormat="1" x14ac:dyDescent="0.25">
      <c r="B37" s="6">
        <v>4</v>
      </c>
      <c r="C37" s="28">
        <f t="shared" ca="1" si="1"/>
        <v>0.70571207740493958</v>
      </c>
      <c r="D37" s="29">
        <f ca="1">IF(ISNA(INDEX(Calc_Area!$E$725:$E$749, MATCH(C37,Calc_Area!$H$725:$H$749,1 )))=FALSE,INDEX(Calc_Area!$E$725:$E$749, MATCH(C37,Calc_Area!$H$725:$H$749,1 )),0)</f>
        <v>0</v>
      </c>
      <c r="F37" s="9">
        <f t="shared" ca="1" si="0"/>
        <v>1</v>
      </c>
    </row>
    <row r="38" spans="2:7" s="6" customFormat="1" x14ac:dyDescent="0.25">
      <c r="B38" s="6">
        <v>5</v>
      </c>
      <c r="C38" s="28">
        <f t="shared" ca="1" si="1"/>
        <v>0.80000159430139972</v>
      </c>
      <c r="D38" s="29">
        <f ca="1">IF(ISNA(INDEX(Calc_Area!$E$725:$E$749, MATCH(C38,Calc_Area!$H$725:$H$749,1 )))=FALSE,INDEX(Calc_Area!$E$725:$E$749, MATCH(C38,Calc_Area!$H$725:$H$749,1 )),0)</f>
        <v>0</v>
      </c>
      <c r="F38" s="9">
        <f t="shared" ca="1" si="0"/>
        <v>1</v>
      </c>
      <c r="G38" s="36" t="s">
        <v>49</v>
      </c>
    </row>
    <row r="39" spans="2:7" s="6" customFormat="1" x14ac:dyDescent="0.25">
      <c r="B39" s="6">
        <v>6</v>
      </c>
      <c r="C39" s="28">
        <f t="shared" ca="1" si="1"/>
        <v>0.30993131604794488</v>
      </c>
      <c r="D39" s="29">
        <f ca="1">IF(ISNA(INDEX(Calc_Area!$E$725:$E$749, MATCH(C39,Calc_Area!$H$725:$H$749,1 )))=FALSE,INDEX(Calc_Area!$E$725:$E$749, MATCH(C39,Calc_Area!$H$725:$H$749,1 )),0)</f>
        <v>0</v>
      </c>
      <c r="F39" s="9">
        <f t="shared" ca="1" si="0"/>
        <v>1</v>
      </c>
      <c r="G39" s="47">
        <f ca="1">PERCENTILE($D$34:$D$133, 0.05)</f>
        <v>0</v>
      </c>
    </row>
    <row r="40" spans="2:7" s="6" customFormat="1" x14ac:dyDescent="0.25">
      <c r="B40" s="6">
        <v>7</v>
      </c>
      <c r="C40" s="28">
        <f t="shared" ca="1" si="1"/>
        <v>6.3173150289408175E-2</v>
      </c>
      <c r="D40" s="29">
        <f ca="1">IF(ISNA(INDEX(Calc_Area!$E$725:$E$749, MATCH(C40,Calc_Area!$H$725:$H$749,1 )))=FALSE,INDEX(Calc_Area!$E$725:$E$749, MATCH(C40,Calc_Area!$H$725:$H$749,1 )),0)</f>
        <v>0</v>
      </c>
      <c r="F40" s="9">
        <f t="shared" ca="1" si="0"/>
        <v>1</v>
      </c>
    </row>
    <row r="41" spans="2:7" s="6" customFormat="1" x14ac:dyDescent="0.25">
      <c r="B41" s="6">
        <v>8</v>
      </c>
      <c r="C41" s="28">
        <f t="shared" ca="1" si="1"/>
        <v>0.95572287988128446</v>
      </c>
      <c r="D41" s="29">
        <f ca="1">IF(ISNA(INDEX(Calc_Area!$E$725:$E$749, MATCH(C41,Calc_Area!$H$725:$H$749,1 )))=FALSE,INDEX(Calc_Area!$E$725:$E$749, MATCH(C41,Calc_Area!$H$725:$H$749,1 )),0)</f>
        <v>0</v>
      </c>
      <c r="F41" s="9">
        <f t="shared" ca="1" si="0"/>
        <v>1</v>
      </c>
      <c r="G41" s="36" t="s">
        <v>50</v>
      </c>
    </row>
    <row r="42" spans="2:7" s="6" customFormat="1" x14ac:dyDescent="0.25">
      <c r="B42" s="6">
        <v>9</v>
      </c>
      <c r="C42" s="28">
        <f t="shared" ca="1" si="1"/>
        <v>0.86705511898195609</v>
      </c>
      <c r="D42" s="29">
        <f ca="1">IF(ISNA(INDEX(Calc_Area!$E$725:$E$749, MATCH(C42,Calc_Area!$H$725:$H$749,1 )))=FALSE,INDEX(Calc_Area!$E$725:$E$749, MATCH(C42,Calc_Area!$H$725:$H$749,1 )),0)</f>
        <v>0</v>
      </c>
      <c r="F42" s="9">
        <f t="shared" ca="1" si="0"/>
        <v>1</v>
      </c>
      <c r="G42" s="47">
        <f ca="1">INT(PERCENTILE($D$34:$D$133, 0.5))</f>
        <v>0</v>
      </c>
    </row>
    <row r="43" spans="2:7" s="6" customFormat="1" x14ac:dyDescent="0.25">
      <c r="B43" s="6">
        <v>10</v>
      </c>
      <c r="C43" s="28">
        <f t="shared" ca="1" si="1"/>
        <v>0.51652877505161132</v>
      </c>
      <c r="D43" s="29">
        <f ca="1">IF(ISNA(INDEX(Calc_Area!$E$725:$E$749, MATCH(C43,Calc_Area!$H$725:$H$749,1 )))=FALSE,INDEX(Calc_Area!$E$725:$E$749, MATCH(C43,Calc_Area!$H$725:$H$749,1 )),0)</f>
        <v>0</v>
      </c>
      <c r="F43" s="9">
        <f t="shared" ca="1" si="0"/>
        <v>1</v>
      </c>
    </row>
    <row r="44" spans="2:7" s="6" customFormat="1" x14ac:dyDescent="0.25">
      <c r="B44" s="6">
        <v>11</v>
      </c>
      <c r="C44" s="28">
        <f t="shared" ca="1" si="1"/>
        <v>0.14199715681691072</v>
      </c>
      <c r="D44" s="29">
        <f ca="1">IF(ISNA(INDEX(Calc_Area!$E$725:$E$749, MATCH(C44,Calc_Area!$H$725:$H$749,1 )))=FALSE,INDEX(Calc_Area!$E$725:$E$749, MATCH(C44,Calc_Area!$H$725:$H$749,1 )),0)</f>
        <v>0</v>
      </c>
      <c r="F44" s="9">
        <f t="shared" ca="1" si="0"/>
        <v>1</v>
      </c>
      <c r="G44" s="36" t="s">
        <v>51</v>
      </c>
    </row>
    <row r="45" spans="2:7" s="6" customFormat="1" x14ac:dyDescent="0.25">
      <c r="B45" s="6">
        <v>12</v>
      </c>
      <c r="C45" s="28">
        <f t="shared" ca="1" si="1"/>
        <v>1.0876620539314041E-3</v>
      </c>
      <c r="D45" s="29">
        <f ca="1">IF(ISNA(INDEX(Calc_Area!$E$725:$E$749, MATCH(C45,Calc_Area!$H$725:$H$749,1 )))=FALSE,INDEX(Calc_Area!$E$725:$E$749, MATCH(C45,Calc_Area!$H$725:$H$749,1 )),0)</f>
        <v>0</v>
      </c>
      <c r="F45" s="9">
        <f t="shared" ca="1" si="0"/>
        <v>1</v>
      </c>
      <c r="G45" s="47">
        <f ca="1">INT(PERCENTILE($D$34:$D$133, 0.95))</f>
        <v>0</v>
      </c>
    </row>
    <row r="46" spans="2:7" s="6" customFormat="1" x14ac:dyDescent="0.25">
      <c r="B46" s="6">
        <v>13</v>
      </c>
      <c r="C46" s="28">
        <f t="shared" ca="1" si="1"/>
        <v>0.44886363458520961</v>
      </c>
      <c r="D46" s="29">
        <f ca="1">IF(ISNA(INDEX(Calc_Area!$E$725:$E$749, MATCH(C46,Calc_Area!$H$725:$H$749,1 )))=FALSE,INDEX(Calc_Area!$E$725:$E$749, MATCH(C46,Calc_Area!$H$725:$H$749,1 )),0)</f>
        <v>0</v>
      </c>
      <c r="F46" s="9">
        <f t="shared" ca="1" si="0"/>
        <v>1</v>
      </c>
    </row>
    <row r="47" spans="2:7" s="6" customFormat="1" x14ac:dyDescent="0.25">
      <c r="B47" s="6">
        <v>14</v>
      </c>
      <c r="C47" s="28">
        <f t="shared" ca="1" si="1"/>
        <v>0.11565417651352816</v>
      </c>
      <c r="D47" s="29">
        <f ca="1">IF(ISNA(INDEX(Calc_Area!$E$725:$E$749, MATCH(C47,Calc_Area!$H$725:$H$749,1 )))=FALSE,INDEX(Calc_Area!$E$725:$E$749, MATCH(C47,Calc_Area!$H$725:$H$749,1 )),0)</f>
        <v>0</v>
      </c>
      <c r="F47" s="9">
        <f t="shared" ca="1" si="0"/>
        <v>1</v>
      </c>
    </row>
    <row r="48" spans="2:7" s="6" customFormat="1" x14ac:dyDescent="0.25">
      <c r="B48" s="6">
        <v>15</v>
      </c>
      <c r="C48" s="28">
        <f t="shared" ca="1" si="1"/>
        <v>0.46252479565734272</v>
      </c>
      <c r="D48" s="29">
        <f ca="1">IF(ISNA(INDEX(Calc_Area!$E$725:$E$749, MATCH(C48,Calc_Area!$H$725:$H$749,1 )))=FALSE,INDEX(Calc_Area!$E$725:$E$749, MATCH(C48,Calc_Area!$H$725:$H$749,1 )),0)</f>
        <v>0</v>
      </c>
      <c r="F48" s="9">
        <f t="shared" ca="1" si="0"/>
        <v>1</v>
      </c>
    </row>
    <row r="49" spans="2:8" s="6" customFormat="1" x14ac:dyDescent="0.25">
      <c r="B49" s="6">
        <v>16</v>
      </c>
      <c r="C49" s="28">
        <f t="shared" ca="1" si="1"/>
        <v>1.4227044750607098E-2</v>
      </c>
      <c r="D49" s="29">
        <f ca="1">IF(ISNA(INDEX(Calc_Area!$E$725:$E$749, MATCH(C49,Calc_Area!$H$725:$H$749,1 )))=FALSE,INDEX(Calc_Area!$E$725:$E$749, MATCH(C49,Calc_Area!$H$725:$H$749,1 )),0)</f>
        <v>0</v>
      </c>
      <c r="F49" s="9">
        <f t="shared" ca="1" si="0"/>
        <v>1</v>
      </c>
    </row>
    <row r="50" spans="2:8" s="6" customFormat="1" x14ac:dyDescent="0.25">
      <c r="B50" s="6">
        <v>17</v>
      </c>
      <c r="C50" s="28">
        <f t="shared" ca="1" si="1"/>
        <v>0.15743340711390896</v>
      </c>
      <c r="D50" s="29">
        <f ca="1">IF(ISNA(INDEX(Calc_Area!$E$725:$E$749, MATCH(C50,Calc_Area!$H$725:$H$749,1 )))=FALSE,INDEX(Calc_Area!$E$725:$E$749, MATCH(C50,Calc_Area!$H$725:$H$749,1 )),0)</f>
        <v>0</v>
      </c>
      <c r="F50" s="9">
        <f t="shared" ca="1" si="0"/>
        <v>1</v>
      </c>
    </row>
    <row r="51" spans="2:8" s="6" customFormat="1" x14ac:dyDescent="0.25">
      <c r="B51" s="6">
        <v>18</v>
      </c>
      <c r="C51" s="28">
        <f t="shared" ca="1" si="1"/>
        <v>0.41025531522634329</v>
      </c>
      <c r="D51" s="29">
        <f ca="1">IF(ISNA(INDEX(Calc_Area!$E$725:$E$749, MATCH(C51,Calc_Area!$H$725:$H$749,1 )))=FALSE,INDEX(Calc_Area!$E$725:$E$749, MATCH(C51,Calc_Area!$H$725:$H$749,1 )),0)</f>
        <v>0</v>
      </c>
      <c r="F51" s="9">
        <f t="shared" ca="1" si="0"/>
        <v>1</v>
      </c>
    </row>
    <row r="52" spans="2:8" s="6" customFormat="1" x14ac:dyDescent="0.25">
      <c r="B52" s="6">
        <v>19</v>
      </c>
      <c r="C52" s="28">
        <f t="shared" ca="1" si="1"/>
        <v>0.74678173480421528</v>
      </c>
      <c r="D52" s="29">
        <f ca="1">IF(ISNA(INDEX(Calc_Area!$E$725:$E$749, MATCH(C52,Calc_Area!$H$725:$H$749,1 )))=FALSE,INDEX(Calc_Area!$E$725:$E$749, MATCH(C52,Calc_Area!$H$725:$H$749,1 )),0)</f>
        <v>0</v>
      </c>
      <c r="F52" s="9">
        <f t="shared" ca="1" si="0"/>
        <v>1</v>
      </c>
      <c r="H52" s="41" t="s">
        <v>105</v>
      </c>
    </row>
    <row r="53" spans="2:8" s="6" customFormat="1" x14ac:dyDescent="0.25">
      <c r="B53" s="6">
        <v>20</v>
      </c>
      <c r="C53" s="28">
        <f t="shared" ca="1" si="1"/>
        <v>0.24981773214192304</v>
      </c>
      <c r="D53" s="29">
        <f ca="1">IF(ISNA(INDEX(Calc_Area!$E$725:$E$749, MATCH(C53,Calc_Area!$H$725:$H$749,1 )))=FALSE,INDEX(Calc_Area!$E$725:$E$749, MATCH(C53,Calc_Area!$H$725:$H$749,1 )),0)</f>
        <v>0</v>
      </c>
      <c r="F53" s="9">
        <f t="shared" ca="1" si="0"/>
        <v>1</v>
      </c>
    </row>
    <row r="54" spans="2:8" s="6" customFormat="1" x14ac:dyDescent="0.25">
      <c r="B54" s="6">
        <v>21</v>
      </c>
      <c r="C54" s="28">
        <f t="shared" ca="1" si="1"/>
        <v>0.67772597943602941</v>
      </c>
      <c r="D54" s="29">
        <f ca="1">IF(ISNA(INDEX(Calc_Area!$E$725:$E$749, MATCH(C54,Calc_Area!$H$725:$H$749,1 )))=FALSE,INDEX(Calc_Area!$E$725:$E$749, MATCH(C54,Calc_Area!$H$725:$H$749,1 )),0)</f>
        <v>0</v>
      </c>
      <c r="F54" s="9">
        <f t="shared" ca="1" si="0"/>
        <v>1</v>
      </c>
    </row>
    <row r="55" spans="2:8" s="6" customFormat="1" x14ac:dyDescent="0.25">
      <c r="B55" s="6">
        <v>22</v>
      </c>
      <c r="C55" s="28">
        <f t="shared" ca="1" si="1"/>
        <v>0.68420208633189972</v>
      </c>
      <c r="D55" s="29">
        <f ca="1">IF(ISNA(INDEX(Calc_Area!$E$725:$E$749, MATCH(C55,Calc_Area!$H$725:$H$749,1 )))=FALSE,INDEX(Calc_Area!$E$725:$E$749, MATCH(C55,Calc_Area!$H$725:$H$749,1 )),0)</f>
        <v>0</v>
      </c>
      <c r="F55" s="9">
        <f t="shared" ca="1" si="0"/>
        <v>1</v>
      </c>
    </row>
    <row r="56" spans="2:8" s="6" customFormat="1" x14ac:dyDescent="0.25">
      <c r="B56" s="6">
        <v>23</v>
      </c>
      <c r="C56" s="28">
        <f t="shared" ca="1" si="1"/>
        <v>0.99626341340446634</v>
      </c>
      <c r="D56" s="29">
        <f ca="1">IF(ISNA(INDEX(Calc_Area!$E$725:$E$749, MATCH(C56,Calc_Area!$H$725:$H$749,1 )))=FALSE,INDEX(Calc_Area!$E$725:$E$749, MATCH(C56,Calc_Area!$H$725:$H$749,1 )),0)</f>
        <v>0</v>
      </c>
      <c r="F56" s="9">
        <f t="shared" ca="1" si="0"/>
        <v>1</v>
      </c>
    </row>
    <row r="57" spans="2:8" s="6" customFormat="1" x14ac:dyDescent="0.25">
      <c r="B57" s="6">
        <v>24</v>
      </c>
      <c r="C57" s="28">
        <f t="shared" ca="1" si="1"/>
        <v>0.39940127548954596</v>
      </c>
      <c r="D57" s="29">
        <f ca="1">IF(ISNA(INDEX(Calc_Area!$E$725:$E$749, MATCH(C57,Calc_Area!$H$725:$H$749,1 )))=FALSE,INDEX(Calc_Area!$E$725:$E$749, MATCH(C57,Calc_Area!$H$725:$H$749,1 )),0)</f>
        <v>0</v>
      </c>
      <c r="F57" s="9">
        <f t="shared" ca="1" si="0"/>
        <v>1</v>
      </c>
    </row>
    <row r="58" spans="2:8" s="6" customFormat="1" x14ac:dyDescent="0.25">
      <c r="B58" s="6">
        <v>25</v>
      </c>
      <c r="C58" s="28">
        <f t="shared" ca="1" si="1"/>
        <v>0.57758861765001379</v>
      </c>
      <c r="D58" s="29">
        <f ca="1">IF(ISNA(INDEX(Calc_Area!$E$725:$E$749, MATCH(C58,Calc_Area!$H$725:$H$749,1 )))=FALSE,INDEX(Calc_Area!$E$725:$E$749, MATCH(C58,Calc_Area!$H$725:$H$749,1 )),0)</f>
        <v>0</v>
      </c>
      <c r="F58" s="9">
        <f t="shared" ca="1" si="0"/>
        <v>1</v>
      </c>
    </row>
    <row r="59" spans="2:8" s="6" customFormat="1" x14ac:dyDescent="0.25">
      <c r="B59" s="6">
        <v>26</v>
      </c>
      <c r="C59" s="28">
        <f t="shared" ca="1" si="1"/>
        <v>0.48009211341075053</v>
      </c>
      <c r="D59" s="29">
        <f ca="1">IF(ISNA(INDEX(Calc_Area!$E$725:$E$749, MATCH(C59,Calc_Area!$H$725:$H$749,1 )))=FALSE,INDEX(Calc_Area!$E$725:$E$749, MATCH(C59,Calc_Area!$H$725:$H$749,1 )),0)</f>
        <v>0</v>
      </c>
      <c r="F59" s="9">
        <f t="shared" ca="1" si="0"/>
        <v>1</v>
      </c>
    </row>
    <row r="60" spans="2:8" s="6" customFormat="1" x14ac:dyDescent="0.25">
      <c r="B60" s="6">
        <v>27</v>
      </c>
      <c r="C60" s="28">
        <f t="shared" ca="1" si="1"/>
        <v>0.30263929237116927</v>
      </c>
      <c r="D60" s="29">
        <f ca="1">IF(ISNA(INDEX(Calc_Area!$E$725:$E$749, MATCH(C60,Calc_Area!$H$725:$H$749,1 )))=FALSE,INDEX(Calc_Area!$E$725:$E$749, MATCH(C60,Calc_Area!$H$725:$H$749,1 )),0)</f>
        <v>0</v>
      </c>
      <c r="F60" s="9">
        <f t="shared" ca="1" si="0"/>
        <v>1</v>
      </c>
    </row>
    <row r="61" spans="2:8" s="6" customFormat="1" x14ac:dyDescent="0.25">
      <c r="B61" s="6">
        <v>28</v>
      </c>
      <c r="C61" s="28">
        <f t="shared" ca="1" si="1"/>
        <v>0.79264415126167476</v>
      </c>
      <c r="D61" s="29">
        <f ca="1">IF(ISNA(INDEX(Calc_Area!$E$725:$E$749, MATCH(C61,Calc_Area!$H$725:$H$749,1 )))=FALSE,INDEX(Calc_Area!$E$725:$E$749, MATCH(C61,Calc_Area!$H$725:$H$749,1 )),0)</f>
        <v>0</v>
      </c>
      <c r="F61" s="9">
        <f t="shared" ca="1" si="0"/>
        <v>1</v>
      </c>
    </row>
    <row r="62" spans="2:8" s="6" customFormat="1" x14ac:dyDescent="0.25">
      <c r="B62" s="6">
        <v>29</v>
      </c>
      <c r="C62" s="28">
        <f t="shared" ca="1" si="1"/>
        <v>0.81344109251677688</v>
      </c>
      <c r="D62" s="29">
        <f ca="1">IF(ISNA(INDEX(Calc_Area!$E$725:$E$749, MATCH(C62,Calc_Area!$H$725:$H$749,1 )))=FALSE,INDEX(Calc_Area!$E$725:$E$749, MATCH(C62,Calc_Area!$H$725:$H$749,1 )),0)</f>
        <v>0</v>
      </c>
      <c r="F62" s="9">
        <f t="shared" ca="1" si="0"/>
        <v>1</v>
      </c>
    </row>
    <row r="63" spans="2:8" s="6" customFormat="1" x14ac:dyDescent="0.25">
      <c r="B63" s="6">
        <v>30</v>
      </c>
      <c r="C63" s="28">
        <f t="shared" ca="1" si="1"/>
        <v>0.83672246385895399</v>
      </c>
      <c r="D63" s="29">
        <f ca="1">IF(ISNA(INDEX(Calc_Area!$E$725:$E$749, MATCH(C63,Calc_Area!$H$725:$H$749,1 )))=FALSE,INDEX(Calc_Area!$E$725:$E$749, MATCH(C63,Calc_Area!$H$725:$H$749,1 )),0)</f>
        <v>0</v>
      </c>
      <c r="F63" s="9">
        <f t="shared" ca="1" si="0"/>
        <v>1</v>
      </c>
    </row>
    <row r="64" spans="2:8" s="6" customFormat="1" x14ac:dyDescent="0.25">
      <c r="B64" s="6">
        <v>31</v>
      </c>
      <c r="C64" s="28">
        <f t="shared" ca="1" si="1"/>
        <v>0.39601004808211193</v>
      </c>
      <c r="D64" s="29">
        <f ca="1">IF(ISNA(INDEX(Calc_Area!$E$725:$E$749, MATCH(C64,Calc_Area!$H$725:$H$749,1 )))=FALSE,INDEX(Calc_Area!$E$725:$E$749, MATCH(C64,Calc_Area!$H$725:$H$749,1 )),0)</f>
        <v>0</v>
      </c>
      <c r="F64" s="9">
        <f t="shared" ca="1" si="0"/>
        <v>1</v>
      </c>
    </row>
    <row r="65" spans="2:6" s="6" customFormat="1" x14ac:dyDescent="0.25">
      <c r="B65" s="6">
        <v>32</v>
      </c>
      <c r="C65" s="28">
        <f t="shared" ca="1" si="1"/>
        <v>0.69004874198116872</v>
      </c>
      <c r="D65" s="29">
        <f ca="1">IF(ISNA(INDEX(Calc_Area!$E$725:$E$749, MATCH(C65,Calc_Area!$H$725:$H$749,1 )))=FALSE,INDEX(Calc_Area!$E$725:$E$749, MATCH(C65,Calc_Area!$H$725:$H$749,1 )),0)</f>
        <v>0</v>
      </c>
      <c r="F65" s="9">
        <f t="shared" ca="1" si="0"/>
        <v>1</v>
      </c>
    </row>
    <row r="66" spans="2:6" s="6" customFormat="1" x14ac:dyDescent="0.25">
      <c r="B66" s="6">
        <v>33</v>
      </c>
      <c r="C66" s="28">
        <f t="shared" ca="1" si="1"/>
        <v>0.79732917293735639</v>
      </c>
      <c r="D66" s="29">
        <f ca="1">IF(ISNA(INDEX(Calc_Area!$E$725:$E$749, MATCH(C66,Calc_Area!$H$725:$H$749,1 )))=FALSE,INDEX(Calc_Area!$E$725:$E$749, MATCH(C66,Calc_Area!$H$725:$H$749,1 )),0)</f>
        <v>0</v>
      </c>
      <c r="F66" s="9">
        <f t="shared" ca="1" si="0"/>
        <v>1</v>
      </c>
    </row>
    <row r="67" spans="2:6" s="6" customFormat="1" x14ac:dyDescent="0.25">
      <c r="B67" s="6">
        <v>34</v>
      </c>
      <c r="C67" s="28">
        <f t="shared" ca="1" si="1"/>
        <v>0.48040899870626363</v>
      </c>
      <c r="D67" s="29">
        <f ca="1">IF(ISNA(INDEX(Calc_Area!$E$725:$E$749, MATCH(C67,Calc_Area!$H$725:$H$749,1 )))=FALSE,INDEX(Calc_Area!$E$725:$E$749, MATCH(C67,Calc_Area!$H$725:$H$749,1 )),0)</f>
        <v>0</v>
      </c>
      <c r="F67" s="9">
        <f t="shared" ca="1" si="0"/>
        <v>1</v>
      </c>
    </row>
    <row r="68" spans="2:6" s="6" customFormat="1" x14ac:dyDescent="0.25">
      <c r="B68" s="6">
        <v>35</v>
      </c>
      <c r="C68" s="28">
        <f t="shared" ca="1" si="1"/>
        <v>0.87319027638654234</v>
      </c>
      <c r="D68" s="29">
        <f ca="1">IF(ISNA(INDEX(Calc_Area!$E$725:$E$749, MATCH(C68,Calc_Area!$H$725:$H$749,1 )))=FALSE,INDEX(Calc_Area!$E$725:$E$749, MATCH(C68,Calc_Area!$H$725:$H$749,1 )),0)</f>
        <v>0</v>
      </c>
      <c r="F68" s="9">
        <f t="shared" ca="1" si="0"/>
        <v>1</v>
      </c>
    </row>
    <row r="69" spans="2:6" s="6" customFormat="1" x14ac:dyDescent="0.25">
      <c r="B69" s="6">
        <v>36</v>
      </c>
      <c r="C69" s="28">
        <f t="shared" ca="1" si="1"/>
        <v>0.460597352697378</v>
      </c>
      <c r="D69" s="29">
        <f ca="1">IF(ISNA(INDEX(Calc_Area!$E$725:$E$749, MATCH(C69,Calc_Area!$H$725:$H$749,1 )))=FALSE,INDEX(Calc_Area!$E$725:$E$749, MATCH(C69,Calc_Area!$H$725:$H$749,1 )),0)</f>
        <v>0</v>
      </c>
      <c r="F69" s="9">
        <f t="shared" ca="1" si="0"/>
        <v>1</v>
      </c>
    </row>
    <row r="70" spans="2:6" s="6" customFormat="1" x14ac:dyDescent="0.25">
      <c r="B70" s="6">
        <v>37</v>
      </c>
      <c r="C70" s="28">
        <f t="shared" ca="1" si="1"/>
        <v>0.5371310607201073</v>
      </c>
      <c r="D70" s="29">
        <f ca="1">IF(ISNA(INDEX(Calc_Area!$E$725:$E$749, MATCH(C70,Calc_Area!$H$725:$H$749,1 )))=FALSE,INDEX(Calc_Area!$E$725:$E$749, MATCH(C70,Calc_Area!$H$725:$H$749,1 )),0)</f>
        <v>0</v>
      </c>
      <c r="F70" s="9">
        <f t="shared" ca="1" si="0"/>
        <v>1</v>
      </c>
    </row>
    <row r="71" spans="2:6" s="6" customFormat="1" x14ac:dyDescent="0.25">
      <c r="B71" s="6">
        <v>38</v>
      </c>
      <c r="C71" s="28">
        <f t="shared" ca="1" si="1"/>
        <v>0.14283067762646795</v>
      </c>
      <c r="D71" s="29">
        <f ca="1">IF(ISNA(INDEX(Calc_Area!$E$725:$E$749, MATCH(C71,Calc_Area!$H$725:$H$749,1 )))=FALSE,INDEX(Calc_Area!$E$725:$E$749, MATCH(C71,Calc_Area!$H$725:$H$749,1 )),0)</f>
        <v>0</v>
      </c>
      <c r="F71" s="9">
        <f t="shared" ca="1" si="0"/>
        <v>1</v>
      </c>
    </row>
    <row r="72" spans="2:6" s="6" customFormat="1" x14ac:dyDescent="0.25">
      <c r="B72" s="6">
        <v>39</v>
      </c>
      <c r="C72" s="28">
        <f t="shared" ca="1" si="1"/>
        <v>0.60797155227125832</v>
      </c>
      <c r="D72" s="29">
        <f ca="1">IF(ISNA(INDEX(Calc_Area!$E$725:$E$749, MATCH(C72,Calc_Area!$H$725:$H$749,1 )))=FALSE,INDEX(Calc_Area!$E$725:$E$749, MATCH(C72,Calc_Area!$H$725:$H$749,1 )),0)</f>
        <v>0</v>
      </c>
      <c r="F72" s="9">
        <f t="shared" ca="1" si="0"/>
        <v>1</v>
      </c>
    </row>
    <row r="73" spans="2:6" s="6" customFormat="1" x14ac:dyDescent="0.25">
      <c r="B73" s="6">
        <v>40</v>
      </c>
      <c r="C73" s="28">
        <f t="shared" ca="1" si="1"/>
        <v>0.34375638404809983</v>
      </c>
      <c r="D73" s="29">
        <f ca="1">IF(ISNA(INDEX(Calc_Area!$E$725:$E$749, MATCH(C73,Calc_Area!$H$725:$H$749,1 )))=FALSE,INDEX(Calc_Area!$E$725:$E$749, MATCH(C73,Calc_Area!$H$725:$H$749,1 )),0)</f>
        <v>0</v>
      </c>
      <c r="F73" s="9">
        <f t="shared" ca="1" si="0"/>
        <v>1</v>
      </c>
    </row>
    <row r="74" spans="2:6" s="6" customFormat="1" x14ac:dyDescent="0.25">
      <c r="B74" s="6">
        <v>41</v>
      </c>
      <c r="C74" s="28">
        <f t="shared" ca="1" si="1"/>
        <v>0.42178290224108239</v>
      </c>
      <c r="D74" s="29">
        <f ca="1">IF(ISNA(INDEX(Calc_Area!$E$725:$E$749, MATCH(C74,Calc_Area!$H$725:$H$749,1 )))=FALSE,INDEX(Calc_Area!$E$725:$E$749, MATCH(C74,Calc_Area!$H$725:$H$749,1 )),0)</f>
        <v>0</v>
      </c>
      <c r="F74" s="9">
        <f t="shared" ca="1" si="0"/>
        <v>1</v>
      </c>
    </row>
    <row r="75" spans="2:6" s="6" customFormat="1" x14ac:dyDescent="0.25">
      <c r="B75" s="6">
        <v>42</v>
      </c>
      <c r="C75" s="28">
        <f t="shared" ca="1" si="1"/>
        <v>2.5978854572975663E-2</v>
      </c>
      <c r="D75" s="29">
        <f ca="1">IF(ISNA(INDEX(Calc_Area!$E$725:$E$749, MATCH(C75,Calc_Area!$H$725:$H$749,1 )))=FALSE,INDEX(Calc_Area!$E$725:$E$749, MATCH(C75,Calc_Area!$H$725:$H$749,1 )),0)</f>
        <v>0</v>
      </c>
      <c r="F75" s="9">
        <f t="shared" ca="1" si="0"/>
        <v>1</v>
      </c>
    </row>
    <row r="76" spans="2:6" s="6" customFormat="1" x14ac:dyDescent="0.25">
      <c r="B76" s="6">
        <v>43</v>
      </c>
      <c r="C76" s="28">
        <f t="shared" ca="1" si="1"/>
        <v>0.56096096879526003</v>
      </c>
      <c r="D76" s="29">
        <f ca="1">IF(ISNA(INDEX(Calc_Area!$E$725:$E$749, MATCH(C76,Calc_Area!$H$725:$H$749,1 )))=FALSE,INDEX(Calc_Area!$E$725:$E$749, MATCH(C76,Calc_Area!$H$725:$H$749,1 )),0)</f>
        <v>0</v>
      </c>
      <c r="F76" s="9">
        <f t="shared" ca="1" si="0"/>
        <v>1</v>
      </c>
    </row>
    <row r="77" spans="2:6" s="6" customFormat="1" x14ac:dyDescent="0.25">
      <c r="B77" s="6">
        <v>44</v>
      </c>
      <c r="C77" s="28">
        <f t="shared" ca="1" si="1"/>
        <v>0.92473359183954862</v>
      </c>
      <c r="D77" s="29">
        <f ca="1">IF(ISNA(INDEX(Calc_Area!$E$725:$E$749, MATCH(C77,Calc_Area!$H$725:$H$749,1 )))=FALSE,INDEX(Calc_Area!$E$725:$E$749, MATCH(C77,Calc_Area!$H$725:$H$749,1 )),0)</f>
        <v>0</v>
      </c>
      <c r="F77" s="9">
        <f t="shared" ca="1" si="0"/>
        <v>1</v>
      </c>
    </row>
    <row r="78" spans="2:6" s="6" customFormat="1" x14ac:dyDescent="0.25">
      <c r="B78" s="6">
        <v>45</v>
      </c>
      <c r="C78" s="28">
        <f t="shared" ca="1" si="1"/>
        <v>0.29021445524156875</v>
      </c>
      <c r="D78" s="29">
        <f ca="1">IF(ISNA(INDEX(Calc_Area!$E$725:$E$749, MATCH(C78,Calc_Area!$H$725:$H$749,1 )))=FALSE,INDEX(Calc_Area!$E$725:$E$749, MATCH(C78,Calc_Area!$H$725:$H$749,1 )),0)</f>
        <v>0</v>
      </c>
      <c r="F78" s="9">
        <f t="shared" ca="1" si="0"/>
        <v>1</v>
      </c>
    </row>
    <row r="79" spans="2:6" s="6" customFormat="1" x14ac:dyDescent="0.25">
      <c r="B79" s="6">
        <v>46</v>
      </c>
      <c r="C79" s="28">
        <f t="shared" ca="1" si="1"/>
        <v>0.29690449171529676</v>
      </c>
      <c r="D79" s="29">
        <f ca="1">IF(ISNA(INDEX(Calc_Area!$E$725:$E$749, MATCH(C79,Calc_Area!$H$725:$H$749,1 )))=FALSE,INDEX(Calc_Area!$E$725:$E$749, MATCH(C79,Calc_Area!$H$725:$H$749,1 )),0)</f>
        <v>0</v>
      </c>
      <c r="F79" s="9">
        <f t="shared" ca="1" si="0"/>
        <v>1</v>
      </c>
    </row>
    <row r="80" spans="2:6" s="6" customFormat="1" x14ac:dyDescent="0.25">
      <c r="B80" s="6">
        <v>47</v>
      </c>
      <c r="C80" s="28">
        <f t="shared" ca="1" si="1"/>
        <v>0.59921605361101682</v>
      </c>
      <c r="D80" s="29">
        <f ca="1">IF(ISNA(INDEX(Calc_Area!$E$725:$E$749, MATCH(C80,Calc_Area!$H$725:$H$749,1 )))=FALSE,INDEX(Calc_Area!$E$725:$E$749, MATCH(C80,Calc_Area!$H$725:$H$749,1 )),0)</f>
        <v>0</v>
      </c>
      <c r="F80" s="9">
        <f t="shared" ca="1" si="0"/>
        <v>1</v>
      </c>
    </row>
    <row r="81" spans="2:6" s="6" customFormat="1" x14ac:dyDescent="0.25">
      <c r="B81" s="6">
        <v>48</v>
      </c>
      <c r="C81" s="28">
        <f t="shared" ca="1" si="1"/>
        <v>0.93285951020639679</v>
      </c>
      <c r="D81" s="29">
        <f ca="1">IF(ISNA(INDEX(Calc_Area!$E$725:$E$749, MATCH(C81,Calc_Area!$H$725:$H$749,1 )))=FALSE,INDEX(Calc_Area!$E$725:$E$749, MATCH(C81,Calc_Area!$H$725:$H$749,1 )),0)</f>
        <v>0</v>
      </c>
      <c r="F81" s="9">
        <f t="shared" ca="1" si="0"/>
        <v>1</v>
      </c>
    </row>
    <row r="82" spans="2:6" s="6" customFormat="1" x14ac:dyDescent="0.25">
      <c r="B82" s="6">
        <v>49</v>
      </c>
      <c r="C82" s="28">
        <f t="shared" ca="1" si="1"/>
        <v>0.47252339155952106</v>
      </c>
      <c r="D82" s="29">
        <f ca="1">IF(ISNA(INDEX(Calc_Area!$E$725:$E$749, MATCH(C82,Calc_Area!$H$725:$H$749,1 )))=FALSE,INDEX(Calc_Area!$E$725:$E$749, MATCH(C82,Calc_Area!$H$725:$H$749,1 )),0)</f>
        <v>0</v>
      </c>
      <c r="F82" s="9">
        <f t="shared" ca="1" si="0"/>
        <v>1</v>
      </c>
    </row>
    <row r="83" spans="2:6" s="6" customFormat="1" x14ac:dyDescent="0.25">
      <c r="B83" s="6">
        <v>50</v>
      </c>
      <c r="C83" s="28">
        <f t="shared" ca="1" si="1"/>
        <v>9.7437889927366905E-2</v>
      </c>
      <c r="D83" s="29">
        <f ca="1">IF(ISNA(INDEX(Calc_Area!$E$725:$E$749, MATCH(C83,Calc_Area!$H$725:$H$749,1 )))=FALSE,INDEX(Calc_Area!$E$725:$E$749, MATCH(C83,Calc_Area!$H$725:$H$749,1 )),0)</f>
        <v>0</v>
      </c>
      <c r="F83" s="9">
        <f t="shared" ca="1" si="0"/>
        <v>1</v>
      </c>
    </row>
    <row r="84" spans="2:6" s="6" customFormat="1" x14ac:dyDescent="0.25">
      <c r="B84" s="6">
        <v>51</v>
      </c>
      <c r="C84" s="28">
        <f t="shared" ca="1" si="1"/>
        <v>0.44912339855133654</v>
      </c>
      <c r="D84" s="29">
        <f ca="1">IF(ISNA(INDEX(Calc_Area!$E$725:$E$749, MATCH(C84,Calc_Area!$H$725:$H$749,1 )))=FALSE,INDEX(Calc_Area!$E$725:$E$749, MATCH(C84,Calc_Area!$H$725:$H$749,1 )),0)</f>
        <v>0</v>
      </c>
      <c r="F84" s="9">
        <f t="shared" ca="1" si="0"/>
        <v>1</v>
      </c>
    </row>
    <row r="85" spans="2:6" s="6" customFormat="1" x14ac:dyDescent="0.25">
      <c r="B85" s="6">
        <v>52</v>
      </c>
      <c r="C85" s="28">
        <f t="shared" ca="1" si="1"/>
        <v>0.9694730742627079</v>
      </c>
      <c r="D85" s="29">
        <f ca="1">IF(ISNA(INDEX(Calc_Area!$E$725:$E$749, MATCH(C85,Calc_Area!$H$725:$H$749,1 )))=FALSE,INDEX(Calc_Area!$E$725:$E$749, MATCH(C85,Calc_Area!$H$725:$H$749,1 )),0)</f>
        <v>0</v>
      </c>
      <c r="F85" s="9">
        <f t="shared" ca="1" si="0"/>
        <v>1</v>
      </c>
    </row>
    <row r="86" spans="2:6" s="6" customFormat="1" x14ac:dyDescent="0.25">
      <c r="B86" s="6">
        <v>53</v>
      </c>
      <c r="C86" s="28">
        <f t="shared" ca="1" si="1"/>
        <v>0.62126440331694577</v>
      </c>
      <c r="D86" s="29">
        <f ca="1">IF(ISNA(INDEX(Calc_Area!$E$725:$E$749, MATCH(C86,Calc_Area!$H$725:$H$749,1 )))=FALSE,INDEX(Calc_Area!$E$725:$E$749, MATCH(C86,Calc_Area!$H$725:$H$749,1 )),0)</f>
        <v>0</v>
      </c>
      <c r="F86" s="9">
        <f t="shared" ca="1" si="0"/>
        <v>1</v>
      </c>
    </row>
    <row r="87" spans="2:6" s="6" customFormat="1" x14ac:dyDescent="0.25">
      <c r="B87" s="6">
        <v>54</v>
      </c>
      <c r="C87" s="28">
        <f t="shared" ca="1" si="1"/>
        <v>0.44917828631262136</v>
      </c>
      <c r="D87" s="29">
        <f ca="1">IF(ISNA(INDEX(Calc_Area!$E$725:$E$749, MATCH(C87,Calc_Area!$H$725:$H$749,1 )))=FALSE,INDEX(Calc_Area!$E$725:$E$749, MATCH(C87,Calc_Area!$H$725:$H$749,1 )),0)</f>
        <v>0</v>
      </c>
      <c r="F87" s="9">
        <f t="shared" ca="1" si="0"/>
        <v>1</v>
      </c>
    </row>
    <row r="88" spans="2:6" s="6" customFormat="1" x14ac:dyDescent="0.25">
      <c r="B88" s="6">
        <v>55</v>
      </c>
      <c r="C88" s="28">
        <f t="shared" ca="1" si="1"/>
        <v>0.6310967222249938</v>
      </c>
      <c r="D88" s="29">
        <f ca="1">IF(ISNA(INDEX(Calc_Area!$E$725:$E$749, MATCH(C88,Calc_Area!$H$725:$H$749,1 )))=FALSE,INDEX(Calc_Area!$E$725:$E$749, MATCH(C88,Calc_Area!$H$725:$H$749,1 )),0)</f>
        <v>0</v>
      </c>
      <c r="F88" s="9">
        <f t="shared" ca="1" si="0"/>
        <v>1</v>
      </c>
    </row>
    <row r="89" spans="2:6" s="6" customFormat="1" x14ac:dyDescent="0.25">
      <c r="B89" s="6">
        <v>56</v>
      </c>
      <c r="C89" s="28">
        <f t="shared" ca="1" si="1"/>
        <v>2.7068682528165411E-2</v>
      </c>
      <c r="D89" s="29">
        <f ca="1">IF(ISNA(INDEX(Calc_Area!$E$725:$E$749, MATCH(C89,Calc_Area!$H$725:$H$749,1 )))=FALSE,INDEX(Calc_Area!$E$725:$E$749, MATCH(C89,Calc_Area!$H$725:$H$749,1 )),0)</f>
        <v>0</v>
      </c>
      <c r="F89" s="9">
        <f t="shared" ca="1" si="0"/>
        <v>1</v>
      </c>
    </row>
    <row r="90" spans="2:6" s="6" customFormat="1" x14ac:dyDescent="0.25">
      <c r="B90" s="6">
        <v>57</v>
      </c>
      <c r="C90" s="28">
        <f t="shared" ca="1" si="1"/>
        <v>0.52929079857059025</v>
      </c>
      <c r="D90" s="29">
        <f ca="1">IF(ISNA(INDEX(Calc_Area!$E$725:$E$749, MATCH(C90,Calc_Area!$H$725:$H$749,1 )))=FALSE,INDEX(Calc_Area!$E$725:$E$749, MATCH(C90,Calc_Area!$H$725:$H$749,1 )),0)</f>
        <v>0</v>
      </c>
      <c r="F90" s="9">
        <f t="shared" ca="1" si="0"/>
        <v>1</v>
      </c>
    </row>
    <row r="91" spans="2:6" s="6" customFormat="1" x14ac:dyDescent="0.25">
      <c r="B91" s="6">
        <v>58</v>
      </c>
      <c r="C91" s="28">
        <f t="shared" ca="1" si="1"/>
        <v>1.3185079173475556E-2</v>
      </c>
      <c r="D91" s="29">
        <f ca="1">IF(ISNA(INDEX(Calc_Area!$E$725:$E$749, MATCH(C91,Calc_Area!$H$725:$H$749,1 )))=FALSE,INDEX(Calc_Area!$E$725:$E$749, MATCH(C91,Calc_Area!$H$725:$H$749,1 )),0)</f>
        <v>0</v>
      </c>
      <c r="F91" s="9">
        <f t="shared" ca="1" si="0"/>
        <v>1</v>
      </c>
    </row>
    <row r="92" spans="2:6" s="6" customFormat="1" x14ac:dyDescent="0.25">
      <c r="B92" s="6">
        <v>59</v>
      </c>
      <c r="C92" s="28">
        <f t="shared" ca="1" si="1"/>
        <v>0.26256055195121364</v>
      </c>
      <c r="D92" s="29">
        <f ca="1">IF(ISNA(INDEX(Calc_Area!$E$725:$E$749, MATCH(C92,Calc_Area!$H$725:$H$749,1 )))=FALSE,INDEX(Calc_Area!$E$725:$E$749, MATCH(C92,Calc_Area!$H$725:$H$749,1 )),0)</f>
        <v>0</v>
      </c>
      <c r="F92" s="9">
        <f t="shared" ca="1" si="0"/>
        <v>1</v>
      </c>
    </row>
    <row r="93" spans="2:6" s="6" customFormat="1" x14ac:dyDescent="0.25">
      <c r="B93" s="6">
        <v>60</v>
      </c>
      <c r="C93" s="28">
        <f t="shared" ca="1" si="1"/>
        <v>0.54963615773167318</v>
      </c>
      <c r="D93" s="29">
        <f ca="1">IF(ISNA(INDEX(Calc_Area!$E$725:$E$749, MATCH(C93,Calc_Area!$H$725:$H$749,1 )))=FALSE,INDEX(Calc_Area!$E$725:$E$749, MATCH(C93,Calc_Area!$H$725:$H$749,1 )),0)</f>
        <v>0</v>
      </c>
      <c r="F93" s="9">
        <f t="shared" ca="1" si="0"/>
        <v>1</v>
      </c>
    </row>
    <row r="94" spans="2:6" s="6" customFormat="1" x14ac:dyDescent="0.25">
      <c r="B94" s="6">
        <v>61</v>
      </c>
      <c r="C94" s="28">
        <f t="shared" ca="1" si="1"/>
        <v>0.702664441699697</v>
      </c>
      <c r="D94" s="29">
        <f ca="1">IF(ISNA(INDEX(Calc_Area!$E$725:$E$749, MATCH(C94,Calc_Area!$H$725:$H$749,1 )))=FALSE,INDEX(Calc_Area!$E$725:$E$749, MATCH(C94,Calc_Area!$H$725:$H$749,1 )),0)</f>
        <v>0</v>
      </c>
      <c r="F94" s="9">
        <f t="shared" ca="1" si="0"/>
        <v>1</v>
      </c>
    </row>
    <row r="95" spans="2:6" s="6" customFormat="1" x14ac:dyDescent="0.25">
      <c r="B95" s="6">
        <v>62</v>
      </c>
      <c r="C95" s="28">
        <f t="shared" ca="1" si="1"/>
        <v>0.40857149193854203</v>
      </c>
      <c r="D95" s="29">
        <f ca="1">IF(ISNA(INDEX(Calc_Area!$E$725:$E$749, MATCH(C95,Calc_Area!$H$725:$H$749,1 )))=FALSE,INDEX(Calc_Area!$E$725:$E$749, MATCH(C95,Calc_Area!$H$725:$H$749,1 )),0)</f>
        <v>0</v>
      </c>
      <c r="F95" s="9">
        <f t="shared" ca="1" si="0"/>
        <v>1</v>
      </c>
    </row>
    <row r="96" spans="2:6" s="6" customFormat="1" x14ac:dyDescent="0.25">
      <c r="B96" s="6">
        <v>63</v>
      </c>
      <c r="C96" s="28">
        <f t="shared" ca="1" si="1"/>
        <v>0.66219078391172892</v>
      </c>
      <c r="D96" s="29">
        <f ca="1">IF(ISNA(INDEX(Calc_Area!$E$725:$E$749, MATCH(C96,Calc_Area!$H$725:$H$749,1 )))=FALSE,INDEX(Calc_Area!$E$725:$E$749, MATCH(C96,Calc_Area!$H$725:$H$749,1 )),0)</f>
        <v>0</v>
      </c>
      <c r="F96" s="9">
        <f t="shared" ca="1" si="0"/>
        <v>1</v>
      </c>
    </row>
    <row r="97" spans="2:6" s="6" customFormat="1" x14ac:dyDescent="0.25">
      <c r="B97" s="6">
        <v>64</v>
      </c>
      <c r="C97" s="28">
        <f t="shared" ca="1" si="1"/>
        <v>0.35763016680091775</v>
      </c>
      <c r="D97" s="29">
        <f ca="1">IF(ISNA(INDEX(Calc_Area!$E$725:$E$749, MATCH(C97,Calc_Area!$H$725:$H$749,1 )))=FALSE,INDEX(Calc_Area!$E$725:$E$749, MATCH(C97,Calc_Area!$H$725:$H$749,1 )),0)</f>
        <v>0</v>
      </c>
      <c r="F97" s="9">
        <f t="shared" ca="1" si="0"/>
        <v>1</v>
      </c>
    </row>
    <row r="98" spans="2:6" s="6" customFormat="1" x14ac:dyDescent="0.25">
      <c r="B98" s="6">
        <v>65</v>
      </c>
      <c r="C98" s="28">
        <f t="shared" ca="1" si="1"/>
        <v>0.16602268784935248</v>
      </c>
      <c r="D98" s="29">
        <f ca="1">IF(ISNA(INDEX(Calc_Area!$E$725:$E$749, MATCH(C98,Calc_Area!$H$725:$H$749,1 )))=FALSE,INDEX(Calc_Area!$E$725:$E$749, MATCH(C98,Calc_Area!$H$725:$H$749,1 )),0)</f>
        <v>0</v>
      </c>
      <c r="F98" s="9">
        <f t="shared" ca="1" si="0"/>
        <v>1</v>
      </c>
    </row>
    <row r="99" spans="2:6" s="6" customFormat="1" x14ac:dyDescent="0.25">
      <c r="B99" s="6">
        <v>66</v>
      </c>
      <c r="C99" s="28">
        <f t="shared" ca="1" si="1"/>
        <v>0.83094357798065299</v>
      </c>
      <c r="D99" s="29">
        <f ca="1">IF(ISNA(INDEX(Calc_Area!$E$725:$E$749, MATCH(C99,Calc_Area!$H$725:$H$749,1 )))=FALSE,INDEX(Calc_Area!$E$725:$E$749, MATCH(C99,Calc_Area!$H$725:$H$749,1 )),0)</f>
        <v>0</v>
      </c>
      <c r="F99" s="9">
        <f t="shared" ref="F99:F133" ca="1" si="2">IF(D99&gt;$D$13,0,1)</f>
        <v>1</v>
      </c>
    </row>
    <row r="100" spans="2:6" s="6" customFormat="1" x14ac:dyDescent="0.25">
      <c r="B100" s="6">
        <v>67</v>
      </c>
      <c r="C100" s="28">
        <f t="shared" ref="C100:C133" ca="1" si="3">RAND()</f>
        <v>0.42479382183792336</v>
      </c>
      <c r="D100" s="29">
        <f ca="1">IF(ISNA(INDEX(Calc_Area!$E$725:$E$749, MATCH(C100,Calc_Area!$H$725:$H$749,1 )))=FALSE,INDEX(Calc_Area!$E$725:$E$749, MATCH(C100,Calc_Area!$H$725:$H$749,1 )),0)</f>
        <v>0</v>
      </c>
      <c r="F100" s="9">
        <f t="shared" ca="1" si="2"/>
        <v>1</v>
      </c>
    </row>
    <row r="101" spans="2:6" s="6" customFormat="1" x14ac:dyDescent="0.25">
      <c r="B101" s="6">
        <v>68</v>
      </c>
      <c r="C101" s="28">
        <f t="shared" ca="1" si="3"/>
        <v>0.23949245523945317</v>
      </c>
      <c r="D101" s="29">
        <f ca="1">IF(ISNA(INDEX(Calc_Area!$E$725:$E$749, MATCH(C101,Calc_Area!$H$725:$H$749,1 )))=FALSE,INDEX(Calc_Area!$E$725:$E$749, MATCH(C101,Calc_Area!$H$725:$H$749,1 )),0)</f>
        <v>0</v>
      </c>
      <c r="F101" s="9">
        <f t="shared" ca="1" si="2"/>
        <v>1</v>
      </c>
    </row>
    <row r="102" spans="2:6" s="6" customFormat="1" x14ac:dyDescent="0.25">
      <c r="B102" s="6">
        <v>69</v>
      </c>
      <c r="C102" s="28">
        <f t="shared" ca="1" si="3"/>
        <v>0.3799627150848317</v>
      </c>
      <c r="D102" s="29">
        <f ca="1">IF(ISNA(INDEX(Calc_Area!$E$725:$E$749, MATCH(C102,Calc_Area!$H$725:$H$749,1 )))=FALSE,INDEX(Calc_Area!$E$725:$E$749, MATCH(C102,Calc_Area!$H$725:$H$749,1 )),0)</f>
        <v>0</v>
      </c>
      <c r="F102" s="9">
        <f t="shared" ca="1" si="2"/>
        <v>1</v>
      </c>
    </row>
    <row r="103" spans="2:6" s="6" customFormat="1" x14ac:dyDescent="0.25">
      <c r="B103" s="6">
        <v>70</v>
      </c>
      <c r="C103" s="28">
        <f t="shared" ca="1" si="3"/>
        <v>9.0144015421834145E-2</v>
      </c>
      <c r="D103" s="29">
        <f ca="1">IF(ISNA(INDEX(Calc_Area!$E$725:$E$749, MATCH(C103,Calc_Area!$H$725:$H$749,1 )))=FALSE,INDEX(Calc_Area!$E$725:$E$749, MATCH(C103,Calc_Area!$H$725:$H$749,1 )),0)</f>
        <v>0</v>
      </c>
      <c r="F103" s="9">
        <f t="shared" ca="1" si="2"/>
        <v>1</v>
      </c>
    </row>
    <row r="104" spans="2:6" s="6" customFormat="1" x14ac:dyDescent="0.25">
      <c r="B104" s="6">
        <v>71</v>
      </c>
      <c r="C104" s="28">
        <f t="shared" ca="1" si="3"/>
        <v>0.6275272766064065</v>
      </c>
      <c r="D104" s="29">
        <f ca="1">IF(ISNA(INDEX(Calc_Area!$E$725:$E$749, MATCH(C104,Calc_Area!$H$725:$H$749,1 )))=FALSE,INDEX(Calc_Area!$E$725:$E$749, MATCH(C104,Calc_Area!$H$725:$H$749,1 )),0)</f>
        <v>0</v>
      </c>
      <c r="F104" s="9">
        <f t="shared" ca="1" si="2"/>
        <v>1</v>
      </c>
    </row>
    <row r="105" spans="2:6" s="6" customFormat="1" x14ac:dyDescent="0.25">
      <c r="B105" s="6">
        <v>72</v>
      </c>
      <c r="C105" s="28">
        <f t="shared" ca="1" si="3"/>
        <v>0.6354951937762211</v>
      </c>
      <c r="D105" s="29">
        <f ca="1">IF(ISNA(INDEX(Calc_Area!$E$725:$E$749, MATCH(C105,Calc_Area!$H$725:$H$749,1 )))=FALSE,INDEX(Calc_Area!$E$725:$E$749, MATCH(C105,Calc_Area!$H$725:$H$749,1 )),0)</f>
        <v>0</v>
      </c>
      <c r="F105" s="9">
        <f t="shared" ca="1" si="2"/>
        <v>1</v>
      </c>
    </row>
    <row r="106" spans="2:6" s="6" customFormat="1" x14ac:dyDescent="0.25">
      <c r="B106" s="6">
        <v>73</v>
      </c>
      <c r="C106" s="28">
        <f t="shared" ca="1" si="3"/>
        <v>7.311929269188433E-2</v>
      </c>
      <c r="D106" s="29">
        <f ca="1">IF(ISNA(INDEX(Calc_Area!$E$725:$E$749, MATCH(C106,Calc_Area!$H$725:$H$749,1 )))=FALSE,INDEX(Calc_Area!$E$725:$E$749, MATCH(C106,Calc_Area!$H$725:$H$749,1 )),0)</f>
        <v>0</v>
      </c>
      <c r="F106" s="9">
        <f t="shared" ca="1" si="2"/>
        <v>1</v>
      </c>
    </row>
    <row r="107" spans="2:6" s="6" customFormat="1" x14ac:dyDescent="0.25">
      <c r="B107" s="6">
        <v>74</v>
      </c>
      <c r="C107" s="28">
        <f t="shared" ca="1" si="3"/>
        <v>0.45715349325362054</v>
      </c>
      <c r="D107" s="29">
        <f ca="1">IF(ISNA(INDEX(Calc_Area!$E$725:$E$749, MATCH(C107,Calc_Area!$H$725:$H$749,1 )))=FALSE,INDEX(Calc_Area!$E$725:$E$749, MATCH(C107,Calc_Area!$H$725:$H$749,1 )),0)</f>
        <v>0</v>
      </c>
      <c r="F107" s="9">
        <f t="shared" ca="1" si="2"/>
        <v>1</v>
      </c>
    </row>
    <row r="108" spans="2:6" s="6" customFormat="1" x14ac:dyDescent="0.25">
      <c r="B108" s="6">
        <v>75</v>
      </c>
      <c r="C108" s="28">
        <f t="shared" ca="1" si="3"/>
        <v>0.81401625640404052</v>
      </c>
      <c r="D108" s="29">
        <f ca="1">IF(ISNA(INDEX(Calc_Area!$E$725:$E$749, MATCH(C108,Calc_Area!$H$725:$H$749,1 )))=FALSE,INDEX(Calc_Area!$E$725:$E$749, MATCH(C108,Calc_Area!$H$725:$H$749,1 )),0)</f>
        <v>0</v>
      </c>
      <c r="F108" s="9">
        <f t="shared" ca="1" si="2"/>
        <v>1</v>
      </c>
    </row>
    <row r="109" spans="2:6" s="6" customFormat="1" x14ac:dyDescent="0.25">
      <c r="B109" s="6">
        <v>76</v>
      </c>
      <c r="C109" s="28">
        <f t="shared" ca="1" si="3"/>
        <v>0.41638491790705667</v>
      </c>
      <c r="D109" s="29">
        <f ca="1">IF(ISNA(INDEX(Calc_Area!$E$725:$E$749, MATCH(C109,Calc_Area!$H$725:$H$749,1 )))=FALSE,INDEX(Calc_Area!$E$725:$E$749, MATCH(C109,Calc_Area!$H$725:$H$749,1 )),0)</f>
        <v>0</v>
      </c>
      <c r="F109" s="9">
        <f t="shared" ca="1" si="2"/>
        <v>1</v>
      </c>
    </row>
    <row r="110" spans="2:6" s="6" customFormat="1" x14ac:dyDescent="0.25">
      <c r="B110" s="6">
        <v>77</v>
      </c>
      <c r="C110" s="28">
        <f t="shared" ca="1" si="3"/>
        <v>0.25559614078431947</v>
      </c>
      <c r="D110" s="29">
        <f ca="1">IF(ISNA(INDEX(Calc_Area!$E$725:$E$749, MATCH(C110,Calc_Area!$H$725:$H$749,1 )))=FALSE,INDEX(Calc_Area!$E$725:$E$749, MATCH(C110,Calc_Area!$H$725:$H$749,1 )),0)</f>
        <v>0</v>
      </c>
      <c r="F110" s="9">
        <f t="shared" ca="1" si="2"/>
        <v>1</v>
      </c>
    </row>
    <row r="111" spans="2:6" s="6" customFormat="1" x14ac:dyDescent="0.25">
      <c r="B111" s="6">
        <v>78</v>
      </c>
      <c r="C111" s="28">
        <f t="shared" ca="1" si="3"/>
        <v>0.74845951751384743</v>
      </c>
      <c r="D111" s="29">
        <f ca="1">IF(ISNA(INDEX(Calc_Area!$E$725:$E$749, MATCH(C111,Calc_Area!$H$725:$H$749,1 )))=FALSE,INDEX(Calc_Area!$E$725:$E$749, MATCH(C111,Calc_Area!$H$725:$H$749,1 )),0)</f>
        <v>0</v>
      </c>
      <c r="F111" s="9">
        <f t="shared" ca="1" si="2"/>
        <v>1</v>
      </c>
    </row>
    <row r="112" spans="2:6" s="6" customFormat="1" x14ac:dyDescent="0.25">
      <c r="B112" s="6">
        <v>79</v>
      </c>
      <c r="C112" s="28">
        <f t="shared" ca="1" si="3"/>
        <v>0.86656359290279716</v>
      </c>
      <c r="D112" s="29">
        <f ca="1">IF(ISNA(INDEX(Calc_Area!$E$725:$E$749, MATCH(C112,Calc_Area!$H$725:$H$749,1 )))=FALSE,INDEX(Calc_Area!$E$725:$E$749, MATCH(C112,Calc_Area!$H$725:$H$749,1 )),0)</f>
        <v>0</v>
      </c>
      <c r="F112" s="9">
        <f t="shared" ca="1" si="2"/>
        <v>1</v>
      </c>
    </row>
    <row r="113" spans="2:6" s="6" customFormat="1" x14ac:dyDescent="0.25">
      <c r="B113" s="6">
        <v>80</v>
      </c>
      <c r="C113" s="28">
        <f t="shared" ca="1" si="3"/>
        <v>5.8859907882534035E-2</v>
      </c>
      <c r="D113" s="29">
        <f ca="1">IF(ISNA(INDEX(Calc_Area!$E$725:$E$749, MATCH(C113,Calc_Area!$H$725:$H$749,1 )))=FALSE,INDEX(Calc_Area!$E$725:$E$749, MATCH(C113,Calc_Area!$H$725:$H$749,1 )),0)</f>
        <v>0</v>
      </c>
      <c r="F113" s="9">
        <f t="shared" ca="1" si="2"/>
        <v>1</v>
      </c>
    </row>
    <row r="114" spans="2:6" s="6" customFormat="1" x14ac:dyDescent="0.25">
      <c r="B114" s="6">
        <v>81</v>
      </c>
      <c r="C114" s="28">
        <f t="shared" ca="1" si="3"/>
        <v>0.6410362902396517</v>
      </c>
      <c r="D114" s="29">
        <f ca="1">IF(ISNA(INDEX(Calc_Area!$E$725:$E$749, MATCH(C114,Calc_Area!$H$725:$H$749,1 )))=FALSE,INDEX(Calc_Area!$E$725:$E$749, MATCH(C114,Calc_Area!$H$725:$H$749,1 )),0)</f>
        <v>0</v>
      </c>
      <c r="F114" s="9">
        <f t="shared" ca="1" si="2"/>
        <v>1</v>
      </c>
    </row>
    <row r="115" spans="2:6" s="6" customFormat="1" x14ac:dyDescent="0.25">
      <c r="B115" s="6">
        <v>82</v>
      </c>
      <c r="C115" s="28">
        <f t="shared" ca="1" si="3"/>
        <v>4.2326814623653619E-2</v>
      </c>
      <c r="D115" s="29">
        <f ca="1">IF(ISNA(INDEX(Calc_Area!$E$725:$E$749, MATCH(C115,Calc_Area!$H$725:$H$749,1 )))=FALSE,INDEX(Calc_Area!$E$725:$E$749, MATCH(C115,Calc_Area!$H$725:$H$749,1 )),0)</f>
        <v>0</v>
      </c>
      <c r="F115" s="9">
        <f t="shared" ca="1" si="2"/>
        <v>1</v>
      </c>
    </row>
    <row r="116" spans="2:6" s="6" customFormat="1" x14ac:dyDescent="0.25">
      <c r="B116" s="6">
        <v>83</v>
      </c>
      <c r="C116" s="28">
        <f t="shared" ca="1" si="3"/>
        <v>0.51707837304009918</v>
      </c>
      <c r="D116" s="29">
        <f ca="1">IF(ISNA(INDEX(Calc_Area!$E$725:$E$749, MATCH(C116,Calc_Area!$H$725:$H$749,1 )))=FALSE,INDEX(Calc_Area!$E$725:$E$749, MATCH(C116,Calc_Area!$H$725:$H$749,1 )),0)</f>
        <v>0</v>
      </c>
      <c r="F116" s="9">
        <f t="shared" ca="1" si="2"/>
        <v>1</v>
      </c>
    </row>
    <row r="117" spans="2:6" s="6" customFormat="1" x14ac:dyDescent="0.25">
      <c r="B117" s="6">
        <v>84</v>
      </c>
      <c r="C117" s="28">
        <f t="shared" ca="1" si="3"/>
        <v>2.8381728353734426E-2</v>
      </c>
      <c r="D117" s="29">
        <f ca="1">IF(ISNA(INDEX(Calc_Area!$E$725:$E$749, MATCH(C117,Calc_Area!$H$725:$H$749,1 )))=FALSE,INDEX(Calc_Area!$E$725:$E$749, MATCH(C117,Calc_Area!$H$725:$H$749,1 )),0)</f>
        <v>0</v>
      </c>
      <c r="F117" s="9">
        <f t="shared" ca="1" si="2"/>
        <v>1</v>
      </c>
    </row>
    <row r="118" spans="2:6" s="6" customFormat="1" x14ac:dyDescent="0.25">
      <c r="B118" s="6">
        <v>85</v>
      </c>
      <c r="C118" s="28">
        <f t="shared" ca="1" si="3"/>
        <v>0.81325065605183167</v>
      </c>
      <c r="D118" s="29">
        <f ca="1">IF(ISNA(INDEX(Calc_Area!$E$725:$E$749, MATCH(C118,Calc_Area!$H$725:$H$749,1 )))=FALSE,INDEX(Calc_Area!$E$725:$E$749, MATCH(C118,Calc_Area!$H$725:$H$749,1 )),0)</f>
        <v>0</v>
      </c>
      <c r="F118" s="9">
        <f t="shared" ca="1" si="2"/>
        <v>1</v>
      </c>
    </row>
    <row r="119" spans="2:6" s="6" customFormat="1" x14ac:dyDescent="0.25">
      <c r="B119" s="6">
        <v>86</v>
      </c>
      <c r="C119" s="28">
        <f t="shared" ca="1" si="3"/>
        <v>0.66149291747468253</v>
      </c>
      <c r="D119" s="29">
        <f ca="1">IF(ISNA(INDEX(Calc_Area!$E$725:$E$749, MATCH(C119,Calc_Area!$H$725:$H$749,1 )))=FALSE,INDEX(Calc_Area!$E$725:$E$749, MATCH(C119,Calc_Area!$H$725:$H$749,1 )),0)</f>
        <v>0</v>
      </c>
      <c r="F119" s="9">
        <f t="shared" ca="1" si="2"/>
        <v>1</v>
      </c>
    </row>
    <row r="120" spans="2:6" s="6" customFormat="1" x14ac:dyDescent="0.25">
      <c r="B120" s="6">
        <v>87</v>
      </c>
      <c r="C120" s="28">
        <f t="shared" ca="1" si="3"/>
        <v>0.28108135483408381</v>
      </c>
      <c r="D120" s="29">
        <f ca="1">IF(ISNA(INDEX(Calc_Area!$E$725:$E$749, MATCH(C120,Calc_Area!$H$725:$H$749,1 )))=FALSE,INDEX(Calc_Area!$E$725:$E$749, MATCH(C120,Calc_Area!$H$725:$H$749,1 )),0)</f>
        <v>0</v>
      </c>
      <c r="F120" s="9">
        <f t="shared" ca="1" si="2"/>
        <v>1</v>
      </c>
    </row>
    <row r="121" spans="2:6" s="6" customFormat="1" x14ac:dyDescent="0.25">
      <c r="B121" s="6">
        <v>88</v>
      </c>
      <c r="C121" s="28">
        <f t="shared" ca="1" si="3"/>
        <v>0.52590246457178191</v>
      </c>
      <c r="D121" s="29">
        <f ca="1">IF(ISNA(INDEX(Calc_Area!$E$725:$E$749, MATCH(C121,Calc_Area!$H$725:$H$749,1 )))=FALSE,INDEX(Calc_Area!$E$725:$E$749, MATCH(C121,Calc_Area!$H$725:$H$749,1 )),0)</f>
        <v>0</v>
      </c>
      <c r="F121" s="9">
        <f t="shared" ca="1" si="2"/>
        <v>1</v>
      </c>
    </row>
    <row r="122" spans="2:6" s="6" customFormat="1" x14ac:dyDescent="0.25">
      <c r="B122" s="6">
        <v>89</v>
      </c>
      <c r="C122" s="28">
        <f t="shared" ca="1" si="3"/>
        <v>0.47011905318820169</v>
      </c>
      <c r="D122" s="29">
        <f ca="1">IF(ISNA(INDEX(Calc_Area!$E$725:$E$749, MATCH(C122,Calc_Area!$H$725:$H$749,1 )))=FALSE,INDEX(Calc_Area!$E$725:$E$749, MATCH(C122,Calc_Area!$H$725:$H$749,1 )),0)</f>
        <v>0</v>
      </c>
      <c r="F122" s="9">
        <f t="shared" ca="1" si="2"/>
        <v>1</v>
      </c>
    </row>
    <row r="123" spans="2:6" s="6" customFormat="1" x14ac:dyDescent="0.25">
      <c r="B123" s="6">
        <v>90</v>
      </c>
      <c r="C123" s="28">
        <f t="shared" ca="1" si="3"/>
        <v>0.10834475648855935</v>
      </c>
      <c r="D123" s="29">
        <f ca="1">IF(ISNA(INDEX(Calc_Area!$E$725:$E$749, MATCH(C123,Calc_Area!$H$725:$H$749,1 )))=FALSE,INDEX(Calc_Area!$E$725:$E$749, MATCH(C123,Calc_Area!$H$725:$H$749,1 )),0)</f>
        <v>0</v>
      </c>
      <c r="F123" s="9">
        <f t="shared" ca="1" si="2"/>
        <v>1</v>
      </c>
    </row>
    <row r="124" spans="2:6" s="6" customFormat="1" x14ac:dyDescent="0.25">
      <c r="B124" s="6">
        <v>91</v>
      </c>
      <c r="C124" s="28">
        <f t="shared" ca="1" si="3"/>
        <v>0.14956481435013458</v>
      </c>
      <c r="D124" s="29">
        <f ca="1">IF(ISNA(INDEX(Calc_Area!$E$725:$E$749, MATCH(C124,Calc_Area!$H$725:$H$749,1 )))=FALSE,INDEX(Calc_Area!$E$725:$E$749, MATCH(C124,Calc_Area!$H$725:$H$749,1 )),0)</f>
        <v>0</v>
      </c>
      <c r="F124" s="9">
        <f t="shared" ca="1" si="2"/>
        <v>1</v>
      </c>
    </row>
    <row r="125" spans="2:6" s="6" customFormat="1" x14ac:dyDescent="0.25">
      <c r="B125" s="6">
        <v>92</v>
      </c>
      <c r="C125" s="28">
        <f t="shared" ca="1" si="3"/>
        <v>0.18194863179748788</v>
      </c>
      <c r="D125" s="29">
        <f ca="1">IF(ISNA(INDEX(Calc_Area!$E$725:$E$749, MATCH(C125,Calc_Area!$H$725:$H$749,1 )))=FALSE,INDEX(Calc_Area!$E$725:$E$749, MATCH(C125,Calc_Area!$H$725:$H$749,1 )),0)</f>
        <v>0</v>
      </c>
      <c r="F125" s="9">
        <f t="shared" ca="1" si="2"/>
        <v>1</v>
      </c>
    </row>
    <row r="126" spans="2:6" s="6" customFormat="1" x14ac:dyDescent="0.25">
      <c r="B126" s="6">
        <v>93</v>
      </c>
      <c r="C126" s="28">
        <f t="shared" ca="1" si="3"/>
        <v>3.3505699716567472E-2</v>
      </c>
      <c r="D126" s="29">
        <f ca="1">IF(ISNA(INDEX(Calc_Area!$E$725:$E$749, MATCH(C126,Calc_Area!$H$725:$H$749,1 )))=FALSE,INDEX(Calc_Area!$E$725:$E$749, MATCH(C126,Calc_Area!$H$725:$H$749,1 )),0)</f>
        <v>0</v>
      </c>
      <c r="F126" s="9">
        <f t="shared" ca="1" si="2"/>
        <v>1</v>
      </c>
    </row>
    <row r="127" spans="2:6" s="6" customFormat="1" x14ac:dyDescent="0.25">
      <c r="B127" s="6">
        <v>94</v>
      </c>
      <c r="C127" s="28">
        <f t="shared" ca="1" si="3"/>
        <v>0.31636499732668177</v>
      </c>
      <c r="D127" s="29">
        <f ca="1">IF(ISNA(INDEX(Calc_Area!$E$725:$E$749, MATCH(C127,Calc_Area!$H$725:$H$749,1 )))=FALSE,INDEX(Calc_Area!$E$725:$E$749, MATCH(C127,Calc_Area!$H$725:$H$749,1 )),0)</f>
        <v>0</v>
      </c>
      <c r="F127" s="9">
        <f t="shared" ca="1" si="2"/>
        <v>1</v>
      </c>
    </row>
    <row r="128" spans="2:6" s="6" customFormat="1" x14ac:dyDescent="0.25">
      <c r="B128" s="6">
        <v>95</v>
      </c>
      <c r="C128" s="28">
        <f t="shared" ca="1" si="3"/>
        <v>0.44664182241305161</v>
      </c>
      <c r="D128" s="29">
        <f ca="1">IF(ISNA(INDEX(Calc_Area!$E$725:$E$749, MATCH(C128,Calc_Area!$H$725:$H$749,1 )))=FALSE,INDEX(Calc_Area!$E$725:$E$749, MATCH(C128,Calc_Area!$H$725:$H$749,1 )),0)</f>
        <v>0</v>
      </c>
      <c r="F128" s="9">
        <f t="shared" ca="1" si="2"/>
        <v>1</v>
      </c>
    </row>
    <row r="129" spans="2:6" s="6" customFormat="1" x14ac:dyDescent="0.25">
      <c r="B129" s="6">
        <v>96</v>
      </c>
      <c r="C129" s="28">
        <f t="shared" ca="1" si="3"/>
        <v>0.90785938910162345</v>
      </c>
      <c r="D129" s="29">
        <f ca="1">IF(ISNA(INDEX(Calc_Area!$E$725:$E$749, MATCH(C129,Calc_Area!$H$725:$H$749,1 )))=FALSE,INDEX(Calc_Area!$E$725:$E$749, MATCH(C129,Calc_Area!$H$725:$H$749,1 )),0)</f>
        <v>0</v>
      </c>
      <c r="F129" s="9">
        <f t="shared" ca="1" si="2"/>
        <v>1</v>
      </c>
    </row>
    <row r="130" spans="2:6" s="6" customFormat="1" x14ac:dyDescent="0.25">
      <c r="B130" s="6">
        <v>97</v>
      </c>
      <c r="C130" s="28">
        <f t="shared" ca="1" si="3"/>
        <v>0.62131995865797796</v>
      </c>
      <c r="D130" s="29">
        <f ca="1">IF(ISNA(INDEX(Calc_Area!$E$725:$E$749, MATCH(C130,Calc_Area!$H$725:$H$749,1 )))=FALSE,INDEX(Calc_Area!$E$725:$E$749, MATCH(C130,Calc_Area!$H$725:$H$749,1 )),0)</f>
        <v>0</v>
      </c>
      <c r="F130" s="9">
        <f t="shared" ca="1" si="2"/>
        <v>1</v>
      </c>
    </row>
    <row r="131" spans="2:6" s="6" customFormat="1" x14ac:dyDescent="0.25">
      <c r="B131" s="6">
        <v>98</v>
      </c>
      <c r="C131" s="28">
        <f t="shared" ca="1" si="3"/>
        <v>0.6414870249461706</v>
      </c>
      <c r="D131" s="29">
        <f ca="1">IF(ISNA(INDEX(Calc_Area!$E$725:$E$749, MATCH(C131,Calc_Area!$H$725:$H$749,1 )))=FALSE,INDEX(Calc_Area!$E$725:$E$749, MATCH(C131,Calc_Area!$H$725:$H$749,1 )),0)</f>
        <v>0</v>
      </c>
      <c r="F131" s="9">
        <f t="shared" ca="1" si="2"/>
        <v>1</v>
      </c>
    </row>
    <row r="132" spans="2:6" s="6" customFormat="1" x14ac:dyDescent="0.25">
      <c r="B132" s="6">
        <v>99</v>
      </c>
      <c r="C132" s="28">
        <f t="shared" ca="1" si="3"/>
        <v>0.37684028446965268</v>
      </c>
      <c r="D132" s="29">
        <f ca="1">IF(ISNA(INDEX(Calc_Area!$E$725:$E$749, MATCH(C132,Calc_Area!$H$725:$H$749,1 )))=FALSE,INDEX(Calc_Area!$E$725:$E$749, MATCH(C132,Calc_Area!$H$725:$H$749,1 )),0)</f>
        <v>0</v>
      </c>
      <c r="F132" s="9">
        <f t="shared" ca="1" si="2"/>
        <v>1</v>
      </c>
    </row>
    <row r="133" spans="2:6" s="6" customFormat="1" x14ac:dyDescent="0.25">
      <c r="B133" s="6">
        <v>100</v>
      </c>
      <c r="C133" s="28">
        <f t="shared" ca="1" si="3"/>
        <v>0.48758622801782925</v>
      </c>
      <c r="D133" s="29">
        <f ca="1">IF(ISNA(INDEX(Calc_Area!$E$725:$E$749, MATCH(C133,Calc_Area!$H$725:$H$749,1 )))=FALSE,INDEX(Calc_Area!$E$725:$E$749, MATCH(C133,Calc_Area!$H$725:$H$749,1 )),0)</f>
        <v>0</v>
      </c>
      <c r="F133" s="9">
        <f t="shared" ca="1" si="2"/>
        <v>1</v>
      </c>
    </row>
  </sheetData>
  <sheetProtection sheet="1" objects="1" scenarios="1"/>
  <mergeCells count="2">
    <mergeCell ref="F5:F6"/>
    <mergeCell ref="G5:G6"/>
  </mergeCells>
  <hyperlinks>
    <hyperlink ref="G1" r:id="rId1" xr:uid="{00000000-0004-0000-0400-000000000000}"/>
    <hyperlink ref="H52" r:id="rId2" xr:uid="{00000000-0004-0000-0400-000001000000}"/>
  </hyperlinks>
  <pageMargins left="0.7" right="0.7" top="0.75" bottom="0.75" header="0.3" footer="0.3"/>
  <pageSetup orientation="portrait" r:id="rId3"/>
  <drawing r:id="rId4"/>
  <legacyDrawing r:id="rId5"/>
  <oleObjects>
    <mc:AlternateContent xmlns:mc="http://schemas.openxmlformats.org/markup-compatibility/2006">
      <mc:Choice Requires="x14">
        <oleObject progId="Equation.3" shapeId="12289" r:id="rId6">
          <objectPr defaultSize="0" autoPict="0" r:id="rId7">
            <anchor moveWithCells="1" sizeWithCells="1">
              <from>
                <xdr:col>1</xdr:col>
                <xdr:colOff>85725</xdr:colOff>
                <xdr:row>7</xdr:row>
                <xdr:rowOff>466725</xdr:rowOff>
              </from>
              <to>
                <xdr:col>2</xdr:col>
                <xdr:colOff>971550</xdr:colOff>
                <xdr:row>10</xdr:row>
                <xdr:rowOff>19050</xdr:rowOff>
              </to>
            </anchor>
          </objectPr>
        </oleObject>
      </mc:Choice>
      <mc:Fallback>
        <oleObject progId="Equation.3" shapeId="12289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3"/>
  <sheetViews>
    <sheetView zoomScale="90" zoomScaleNormal="90" workbookViewId="0">
      <selection activeCell="O8" sqref="O8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9.42578125" customWidth="1"/>
    <col min="6" max="6" width="16.85546875" bestFit="1" customWidth="1"/>
    <col min="7" max="7" width="27" customWidth="1"/>
    <col min="8" max="8" width="25.7109375" customWidth="1"/>
    <col min="9" max="9" width="20.7109375" customWidth="1"/>
  </cols>
  <sheetData>
    <row r="1" spans="1:10" s="7" customFormat="1" ht="26.25" x14ac:dyDescent="0.4">
      <c r="A1" s="7" t="s">
        <v>153</v>
      </c>
      <c r="G1" s="66" t="s">
        <v>155</v>
      </c>
    </row>
    <row r="2" spans="1:10" s="7" customFormat="1" ht="11.25" customHeight="1" x14ac:dyDescent="0.4"/>
    <row r="3" spans="1:10" s="7" customFormat="1" ht="19.5" customHeight="1" x14ac:dyDescent="0.4">
      <c r="C3" s="8" t="s">
        <v>154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115</v>
      </c>
      <c r="C5" s="57">
        <v>2.5700000000000001E-2</v>
      </c>
      <c r="E5" s="3" t="s">
        <v>56</v>
      </c>
      <c r="F5" s="3" t="s">
        <v>52</v>
      </c>
      <c r="G5" s="43">
        <f>1/C5</f>
        <v>38.910505836575872</v>
      </c>
      <c r="H5" s="3" t="s">
        <v>107</v>
      </c>
      <c r="I5" s="3"/>
      <c r="J5" s="40"/>
    </row>
    <row r="6" spans="1:10" s="1" customFormat="1" ht="18.75" x14ac:dyDescent="0.3">
      <c r="A6" s="2"/>
      <c r="B6" s="3"/>
      <c r="C6" s="68"/>
      <c r="F6" s="3"/>
      <c r="G6" s="43"/>
      <c r="H6" s="63" t="s">
        <v>156</v>
      </c>
      <c r="I6" s="3"/>
      <c r="J6" s="40"/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21" x14ac:dyDescent="0.3">
      <c r="A9" s="4"/>
      <c r="B9" s="5"/>
      <c r="C9" s="67" t="s">
        <v>157</v>
      </c>
      <c r="D9" s="67" t="s">
        <v>158</v>
      </c>
      <c r="E9" s="67" t="s">
        <v>159</v>
      </c>
      <c r="F9" s="67" t="s">
        <v>159</v>
      </c>
      <c r="G9" s="15" t="s">
        <v>164</v>
      </c>
      <c r="H9" s="15" t="s">
        <v>165</v>
      </c>
      <c r="I9" s="16" t="s">
        <v>166</v>
      </c>
    </row>
    <row r="10" spans="1:10" s="6" customFormat="1" ht="10.5" customHeight="1" x14ac:dyDescent="0.25"/>
    <row r="11" spans="1:10" s="19" customFormat="1" ht="19.5" thickBot="1" x14ac:dyDescent="0.35">
      <c r="A11" s="2" t="s">
        <v>160</v>
      </c>
    </row>
    <row r="12" spans="1:10" s="1" customFormat="1" ht="19.5" thickBot="1" x14ac:dyDescent="0.35">
      <c r="C12" s="3" t="s">
        <v>161</v>
      </c>
      <c r="D12" s="57">
        <v>0</v>
      </c>
    </row>
    <row r="13" spans="1:10" s="1" customFormat="1" ht="19.5" thickBot="1" x14ac:dyDescent="0.35">
      <c r="C13" s="3" t="s">
        <v>162</v>
      </c>
      <c r="D13" s="57">
        <v>50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T ≤ " &amp; D13 &amp;") ="</f>
        <v>Pr(0 ≤ T ≤ 50) =</v>
      </c>
      <c r="D15" s="46">
        <f>EXPONDIST($D$13,$C$5,1)-EXPONDIST($D$12,$C$5,1)</f>
        <v>0.72334941636802663</v>
      </c>
      <c r="F15" s="61" t="s">
        <v>105</v>
      </c>
    </row>
    <row r="16" spans="1:10" s="1" customFormat="1" ht="15.75" x14ac:dyDescent="0.25">
      <c r="C16" s="20" t="str">
        <f>"Pr(T ≤ "&amp;D12&amp;") ="</f>
        <v>Pr(T ≤ 0) =</v>
      </c>
      <c r="D16" s="46">
        <f>EXPONDIST($D$12,$C$5,1)</f>
        <v>0</v>
      </c>
    </row>
    <row r="17" spans="1:7" s="1" customFormat="1" ht="15.75" x14ac:dyDescent="0.25">
      <c r="C17" s="20" t="str">
        <f>"Pr(T ≤ " &amp; D13 &amp; ") ="</f>
        <v>Pr(T ≤ 50) =</v>
      </c>
      <c r="D17" s="46">
        <f>EXPONDIST($D$13,$C$5,1)</f>
        <v>0.72334941636802663</v>
      </c>
    </row>
    <row r="18" spans="1:7" s="1" customFormat="1" ht="15.75" x14ac:dyDescent="0.25">
      <c r="C18" s="20" t="str">
        <f>"Pr(T &gt; " &amp; D13 &amp;") ="</f>
        <v>Pr(T &gt; 50) =</v>
      </c>
      <c r="D18" s="46">
        <f>1-EXPONDIST($D$13,$C$5,1)</f>
        <v>0.27665058363197337</v>
      </c>
    </row>
    <row r="19" spans="1:7" s="1" customFormat="1" ht="15.75" x14ac:dyDescent="0.25">
      <c r="C19" s="20"/>
      <c r="D19" s="24"/>
    </row>
    <row r="20" spans="1:7" s="1" customFormat="1" ht="15.75" x14ac:dyDescent="0.25">
      <c r="C20" s="20" t="s">
        <v>52</v>
      </c>
      <c r="D20" s="46">
        <f>1/C5</f>
        <v>38.910505836575872</v>
      </c>
    </row>
    <row r="21" spans="1:7" s="1" customFormat="1" ht="15.75" x14ac:dyDescent="0.25">
      <c r="C21" s="20" t="s">
        <v>38</v>
      </c>
      <c r="D21" s="46">
        <f>1/$C$5</f>
        <v>38.910505836575872</v>
      </c>
    </row>
    <row r="22" spans="1:7" s="1" customFormat="1" ht="15.75" x14ac:dyDescent="0.25">
      <c r="C22" s="20" t="s">
        <v>34</v>
      </c>
      <c r="D22" s="46">
        <f>D21^2</f>
        <v>1514.027464458205</v>
      </c>
    </row>
    <row r="23" spans="1:7" s="1" customFormat="1" ht="15.75" x14ac:dyDescent="0.25">
      <c r="C23" s="20"/>
      <c r="D23" s="21"/>
    </row>
    <row r="24" spans="1:7" s="1" customFormat="1" ht="15.75" x14ac:dyDescent="0.25">
      <c r="C24" s="20" t="s">
        <v>35</v>
      </c>
      <c r="D24" s="46">
        <f>-LN(1-0.05)/$C$5</f>
        <v>1.9958480306439914</v>
      </c>
    </row>
    <row r="25" spans="1:7" s="1" customFormat="1" ht="15.75" x14ac:dyDescent="0.25">
      <c r="C25" s="20" t="s">
        <v>36</v>
      </c>
      <c r="D25" s="46">
        <f>-LN(1-0.5)/$C$5</f>
        <v>26.970707414783863</v>
      </c>
    </row>
    <row r="26" spans="1:7" s="1" customFormat="1" ht="15.75" x14ac:dyDescent="0.25">
      <c r="C26" s="20" t="s">
        <v>37</v>
      </c>
      <c r="D26" s="46">
        <f>-LN(1-0.95)/$C$5</f>
        <v>116.56545811494124</v>
      </c>
    </row>
    <row r="27" spans="1:7" s="1" customFormat="1" ht="15.75" x14ac:dyDescent="0.25">
      <c r="C27" s="20" t="s">
        <v>206</v>
      </c>
      <c r="D27" s="46">
        <f>1/C5</f>
        <v>38.910505836575872</v>
      </c>
    </row>
    <row r="28" spans="1:7" s="1" customFormat="1" x14ac:dyDescent="0.25"/>
    <row r="29" spans="1:7" s="6" customFormat="1" ht="18.75" x14ac:dyDescent="0.3">
      <c r="A29" s="4" t="s">
        <v>163</v>
      </c>
    </row>
    <row r="30" spans="1:7" s="6" customFormat="1" ht="18.75" x14ac:dyDescent="0.3">
      <c r="A30" s="4"/>
    </row>
    <row r="31" spans="1:7" s="6" customFormat="1" ht="18.75" x14ac:dyDescent="0.3">
      <c r="A31" s="4"/>
      <c r="C31" s="30" t="s">
        <v>44</v>
      </c>
      <c r="D31" s="32">
        <f ca="1">AVERAGE(D34:D133)</f>
        <v>39.595814988730879</v>
      </c>
      <c r="F31" s="30" t="s">
        <v>45</v>
      </c>
      <c r="G31" s="32">
        <f ca="1">STDEV(D34:D133)</f>
        <v>42.51799430794086</v>
      </c>
    </row>
    <row r="32" spans="1:7" s="6" customFormat="1" ht="18.75" x14ac:dyDescent="0.3">
      <c r="A32" s="4"/>
    </row>
    <row r="33" spans="2:7" s="6" customFormat="1" ht="15.75" x14ac:dyDescent="0.25">
      <c r="B33" s="31" t="s">
        <v>41</v>
      </c>
      <c r="C33" s="31" t="s">
        <v>42</v>
      </c>
      <c r="D33" s="31" t="s">
        <v>220</v>
      </c>
      <c r="E33" s="33"/>
      <c r="F33" s="34" t="s">
        <v>218</v>
      </c>
    </row>
    <row r="34" spans="2:7" s="6" customFormat="1" x14ac:dyDescent="0.25">
      <c r="B34" s="6">
        <v>1</v>
      </c>
      <c r="C34" s="28">
        <f ca="1">RAND()</f>
        <v>6.0920039299240281E-2</v>
      </c>
      <c r="D34" s="29">
        <f ca="1">GAMMAINV(C34,1,1/$C$5)</f>
        <v>2.4457061569451817</v>
      </c>
      <c r="F34" s="9">
        <f ca="1">IF(D34&gt;$D$13,0,1)</f>
        <v>1</v>
      </c>
    </row>
    <row r="35" spans="2:7" s="6" customFormat="1" x14ac:dyDescent="0.25">
      <c r="B35" s="6">
        <v>2</v>
      </c>
      <c r="C35" s="28">
        <f ca="1">RAND()</f>
        <v>0.81940879130251287</v>
      </c>
      <c r="D35" s="29">
        <f t="shared" ref="D35:D98" ca="1" si="0">GAMMAINV(C35,1,1/$C$5)</f>
        <v>66.596082392706876</v>
      </c>
      <c r="F35" s="9">
        <f t="shared" ref="F35:F98" ca="1" si="1">IF(D35&gt;$D$13,0,1)</f>
        <v>0</v>
      </c>
      <c r="G35" s="36" t="s">
        <v>219</v>
      </c>
    </row>
    <row r="36" spans="2:7" s="6" customFormat="1" x14ac:dyDescent="0.25">
      <c r="B36" s="6">
        <v>3</v>
      </c>
      <c r="C36" s="28">
        <f t="shared" ref="C36:C99" ca="1" si="2">RAND()</f>
        <v>7.9628716132395749E-2</v>
      </c>
      <c r="D36" s="29">
        <f t="shared" ca="1" si="0"/>
        <v>3.22872065875401</v>
      </c>
      <c r="F36" s="9">
        <f t="shared" ca="1" si="1"/>
        <v>1</v>
      </c>
      <c r="G36" s="47">
        <f ca="1">SUM(F34:F133)/100</f>
        <v>0.72</v>
      </c>
    </row>
    <row r="37" spans="2:7" s="6" customFormat="1" x14ac:dyDescent="0.25">
      <c r="B37" s="6">
        <v>4</v>
      </c>
      <c r="C37" s="28">
        <f t="shared" ca="1" si="2"/>
        <v>0.36766280283568042</v>
      </c>
      <c r="D37" s="29">
        <f t="shared" ca="1" si="0"/>
        <v>17.833948922182099</v>
      </c>
      <c r="F37" s="9">
        <f t="shared" ca="1" si="1"/>
        <v>1</v>
      </c>
    </row>
    <row r="38" spans="2:7" s="6" customFormat="1" x14ac:dyDescent="0.25">
      <c r="B38" s="6">
        <v>5</v>
      </c>
      <c r="C38" s="28">
        <f t="shared" ca="1" si="2"/>
        <v>0.32308540403418406</v>
      </c>
      <c r="D38" s="29">
        <f t="shared" ca="1" si="0"/>
        <v>15.183274892712971</v>
      </c>
      <c r="F38" s="9">
        <f t="shared" ca="1" si="1"/>
        <v>1</v>
      </c>
      <c r="G38" s="36" t="s">
        <v>49</v>
      </c>
    </row>
    <row r="39" spans="2:7" s="6" customFormat="1" x14ac:dyDescent="0.25">
      <c r="B39" s="6">
        <v>6</v>
      </c>
      <c r="C39" s="28">
        <f t="shared" ca="1" si="2"/>
        <v>0.57905438741170145</v>
      </c>
      <c r="D39" s="29">
        <f t="shared" ca="1" si="0"/>
        <v>33.667378984283673</v>
      </c>
      <c r="F39" s="9">
        <f t="shared" ca="1" si="1"/>
        <v>1</v>
      </c>
      <c r="G39" s="47">
        <f ca="1">PERCENTILE($D$34:$D$133, 0.05)</f>
        <v>2.2280249097634446</v>
      </c>
    </row>
    <row r="40" spans="2:7" s="6" customFormat="1" x14ac:dyDescent="0.25">
      <c r="B40" s="6">
        <v>7</v>
      </c>
      <c r="C40" s="28">
        <f t="shared" ca="1" si="2"/>
        <v>0.60556530143763598</v>
      </c>
      <c r="D40" s="29">
        <f t="shared" ca="1" si="0"/>
        <v>36.198509028179082</v>
      </c>
      <c r="F40" s="9">
        <f t="shared" ca="1" si="1"/>
        <v>1</v>
      </c>
    </row>
    <row r="41" spans="2:7" s="6" customFormat="1" x14ac:dyDescent="0.25">
      <c r="B41" s="6">
        <v>8</v>
      </c>
      <c r="C41" s="28">
        <f t="shared" ca="1" si="2"/>
        <v>0.80113402617450946</v>
      </c>
      <c r="D41" s="29">
        <f t="shared" ca="1" si="0"/>
        <v>62.845298814160373</v>
      </c>
      <c r="F41" s="9">
        <f t="shared" ca="1" si="1"/>
        <v>0</v>
      </c>
      <c r="G41" s="36" t="s">
        <v>50</v>
      </c>
    </row>
    <row r="42" spans="2:7" s="6" customFormat="1" x14ac:dyDescent="0.25">
      <c r="B42" s="6">
        <v>9</v>
      </c>
      <c r="C42" s="28">
        <f t="shared" ca="1" si="2"/>
        <v>0.74035850857320873</v>
      </c>
      <c r="D42" s="29">
        <f t="shared" ca="1" si="0"/>
        <v>52.469006950309556</v>
      </c>
      <c r="F42" s="9">
        <f t="shared" ca="1" si="1"/>
        <v>0</v>
      </c>
      <c r="G42" s="47">
        <f ca="1">PERCENTILE($D$34:$D$133, 0.5)</f>
        <v>25.962473791921383</v>
      </c>
    </row>
    <row r="43" spans="2:7" s="6" customFormat="1" x14ac:dyDescent="0.25">
      <c r="B43" s="6">
        <v>10</v>
      </c>
      <c r="C43" s="28">
        <f t="shared" ca="1" si="2"/>
        <v>6.3263169731346602E-2</v>
      </c>
      <c r="D43" s="29">
        <f t="shared" ca="1" si="0"/>
        <v>2.5429144111974042</v>
      </c>
      <c r="F43" s="9">
        <f t="shared" ca="1" si="1"/>
        <v>1</v>
      </c>
    </row>
    <row r="44" spans="2:7" s="6" customFormat="1" x14ac:dyDescent="0.25">
      <c r="B44" s="6">
        <v>11</v>
      </c>
      <c r="C44" s="28">
        <f t="shared" ca="1" si="2"/>
        <v>0.69879996512563947</v>
      </c>
      <c r="D44" s="29">
        <f t="shared" ca="1" si="0"/>
        <v>46.691854757652749</v>
      </c>
      <c r="F44" s="9">
        <f t="shared" ca="1" si="1"/>
        <v>1</v>
      </c>
      <c r="G44" s="36" t="s">
        <v>51</v>
      </c>
    </row>
    <row r="45" spans="2:7" s="6" customFormat="1" x14ac:dyDescent="0.25">
      <c r="B45" s="6">
        <v>12</v>
      </c>
      <c r="C45" s="28">
        <f t="shared" ca="1" si="2"/>
        <v>0.23351533971865834</v>
      </c>
      <c r="D45" s="29">
        <f t="shared" ca="1" si="0"/>
        <v>10.347883017501626</v>
      </c>
      <c r="F45" s="9">
        <f t="shared" ca="1" si="1"/>
        <v>1</v>
      </c>
      <c r="G45" s="47">
        <f ca="1">PERCENTILE($D$34:$D$133, 0.95)</f>
        <v>120.58372171153849</v>
      </c>
    </row>
    <row r="46" spans="2:7" s="6" customFormat="1" x14ac:dyDescent="0.25">
      <c r="B46" s="6">
        <v>13</v>
      </c>
      <c r="C46" s="28">
        <f t="shared" ca="1" si="2"/>
        <v>0.46487151923167702</v>
      </c>
      <c r="D46" s="29">
        <f t="shared" ca="1" si="0"/>
        <v>24.328731904627649</v>
      </c>
      <c r="F46" s="9">
        <f t="shared" ca="1" si="1"/>
        <v>1</v>
      </c>
    </row>
    <row r="47" spans="2:7" s="6" customFormat="1" x14ac:dyDescent="0.25">
      <c r="B47" s="6">
        <v>14</v>
      </c>
      <c r="C47" s="28">
        <f t="shared" ca="1" si="2"/>
        <v>0.22745427388318562</v>
      </c>
      <c r="D47" s="29">
        <f t="shared" ca="1" si="0"/>
        <v>10.04140387462299</v>
      </c>
      <c r="F47" s="9">
        <f t="shared" ca="1" si="1"/>
        <v>1</v>
      </c>
    </row>
    <row r="48" spans="2:7" s="6" customFormat="1" x14ac:dyDescent="0.25">
      <c r="B48" s="6">
        <v>15</v>
      </c>
      <c r="C48" s="28">
        <f t="shared" ca="1" si="2"/>
        <v>0.69881908593800435</v>
      </c>
      <c r="D48" s="29">
        <f t="shared" ca="1" si="0"/>
        <v>46.694324956893567</v>
      </c>
      <c r="F48" s="9">
        <f t="shared" ca="1" si="1"/>
        <v>1</v>
      </c>
    </row>
    <row r="49" spans="2:6" s="6" customFormat="1" x14ac:dyDescent="0.25">
      <c r="B49" s="6">
        <v>16</v>
      </c>
      <c r="C49" s="28">
        <f t="shared" ca="1" si="2"/>
        <v>0.41671555778951552</v>
      </c>
      <c r="D49" s="29">
        <f t="shared" ca="1" si="0"/>
        <v>20.97588784430652</v>
      </c>
      <c r="F49" s="9">
        <f t="shared" ca="1" si="1"/>
        <v>1</v>
      </c>
    </row>
    <row r="50" spans="2:6" s="6" customFormat="1" x14ac:dyDescent="0.25">
      <c r="B50" s="6">
        <v>17</v>
      </c>
      <c r="C50" s="28">
        <f t="shared" ca="1" si="2"/>
        <v>0.95458502988217975</v>
      </c>
      <c r="D50" s="29">
        <f t="shared" ca="1" si="0"/>
        <v>120.3079178991663</v>
      </c>
      <c r="F50" s="9">
        <f t="shared" ca="1" si="1"/>
        <v>0</v>
      </c>
    </row>
    <row r="51" spans="2:6" s="6" customFormat="1" x14ac:dyDescent="0.25">
      <c r="B51" s="6">
        <v>18</v>
      </c>
      <c r="C51" s="28">
        <f t="shared" ca="1" si="2"/>
        <v>0.89720032869776922</v>
      </c>
      <c r="D51" s="29">
        <f t="shared" ca="1" si="0"/>
        <v>88.520354996704327</v>
      </c>
      <c r="F51" s="9">
        <f t="shared" ca="1" si="1"/>
        <v>0</v>
      </c>
    </row>
    <row r="52" spans="2:6" s="6" customFormat="1" x14ac:dyDescent="0.25">
      <c r="B52" s="6">
        <v>19</v>
      </c>
      <c r="C52" s="28">
        <f t="shared" ca="1" si="2"/>
        <v>0.36392411928075896</v>
      </c>
      <c r="D52" s="29">
        <f t="shared" ca="1" si="0"/>
        <v>17.604568616802389</v>
      </c>
      <c r="F52" s="9">
        <f t="shared" ca="1" si="1"/>
        <v>1</v>
      </c>
    </row>
    <row r="53" spans="2:6" s="6" customFormat="1" x14ac:dyDescent="0.25">
      <c r="B53" s="6">
        <v>20</v>
      </c>
      <c r="C53" s="28">
        <f t="shared" ca="1" si="2"/>
        <v>0.38126244411125743</v>
      </c>
      <c r="D53" s="29">
        <f t="shared" ca="1" si="0"/>
        <v>18.679925174958804</v>
      </c>
      <c r="F53" s="9">
        <f t="shared" ca="1" si="1"/>
        <v>1</v>
      </c>
    </row>
    <row r="54" spans="2:6" s="6" customFormat="1" x14ac:dyDescent="0.25">
      <c r="B54" s="6">
        <v>21</v>
      </c>
      <c r="C54" s="28">
        <f t="shared" ca="1" si="2"/>
        <v>7.0347607238297916E-2</v>
      </c>
      <c r="D54" s="29">
        <f t="shared" ca="1" si="0"/>
        <v>2.8383087131784581</v>
      </c>
      <c r="F54" s="9">
        <f t="shared" ca="1" si="1"/>
        <v>1</v>
      </c>
    </row>
    <row r="55" spans="2:6" s="6" customFormat="1" x14ac:dyDescent="0.25">
      <c r="B55" s="6">
        <v>22</v>
      </c>
      <c r="C55" s="28">
        <f t="shared" ca="1" si="2"/>
        <v>0.20353059046291244</v>
      </c>
      <c r="D55" s="29">
        <f t="shared" ca="1" si="0"/>
        <v>8.854729823926796</v>
      </c>
      <c r="F55" s="9">
        <f t="shared" ca="1" si="1"/>
        <v>1</v>
      </c>
    </row>
    <row r="56" spans="2:6" s="6" customFormat="1" x14ac:dyDescent="0.25">
      <c r="B56" s="6">
        <v>23</v>
      </c>
      <c r="C56" s="28">
        <f t="shared" ca="1" si="2"/>
        <v>0.18433370016831663</v>
      </c>
      <c r="D56" s="29">
        <f t="shared" ca="1" si="0"/>
        <v>7.9280137721427097</v>
      </c>
      <c r="F56" s="9">
        <f t="shared" ca="1" si="1"/>
        <v>1</v>
      </c>
    </row>
    <row r="57" spans="2:6" s="6" customFormat="1" x14ac:dyDescent="0.25">
      <c r="B57" s="6">
        <v>24</v>
      </c>
      <c r="C57" s="28">
        <f t="shared" ca="1" si="2"/>
        <v>0.22029007522190514</v>
      </c>
      <c r="D57" s="29">
        <f t="shared" ca="1" si="0"/>
        <v>9.6822303415314011</v>
      </c>
      <c r="F57" s="9">
        <f t="shared" ca="1" si="1"/>
        <v>1</v>
      </c>
    </row>
    <row r="58" spans="2:6" s="6" customFormat="1" x14ac:dyDescent="0.25">
      <c r="B58" s="6">
        <v>25</v>
      </c>
      <c r="C58" s="28">
        <f t="shared" ca="1" si="2"/>
        <v>0.85027191775584066</v>
      </c>
      <c r="D58" s="29">
        <f t="shared" ca="1" si="0"/>
        <v>73.888498638445128</v>
      </c>
      <c r="F58" s="9">
        <f t="shared" ca="1" si="1"/>
        <v>0</v>
      </c>
    </row>
    <row r="59" spans="2:6" s="6" customFormat="1" x14ac:dyDescent="0.25">
      <c r="B59" s="6">
        <v>26</v>
      </c>
      <c r="C59" s="28">
        <f t="shared" ca="1" si="2"/>
        <v>0.60009574063852567</v>
      </c>
      <c r="D59" s="29">
        <f t="shared" ca="1" si="0"/>
        <v>35.662650277028561</v>
      </c>
      <c r="F59" s="9">
        <f t="shared" ca="1" si="1"/>
        <v>1</v>
      </c>
    </row>
    <row r="60" spans="2:6" s="6" customFormat="1" x14ac:dyDescent="0.25">
      <c r="B60" s="6">
        <v>27</v>
      </c>
      <c r="C60" s="28">
        <f t="shared" ca="1" si="2"/>
        <v>0.94850287654194743</v>
      </c>
      <c r="D60" s="29">
        <f t="shared" ca="1" si="0"/>
        <v>115.41748358193971</v>
      </c>
      <c r="F60" s="9">
        <f t="shared" ca="1" si="1"/>
        <v>0</v>
      </c>
    </row>
    <row r="61" spans="2:6" s="6" customFormat="1" x14ac:dyDescent="0.25">
      <c r="B61" s="6">
        <v>28</v>
      </c>
      <c r="C61" s="28">
        <f t="shared" ca="1" si="2"/>
        <v>0.68467484352138286</v>
      </c>
      <c r="D61" s="29">
        <f t="shared" ca="1" si="0"/>
        <v>44.908596488851671</v>
      </c>
      <c r="F61" s="9">
        <f t="shared" ca="1" si="1"/>
        <v>1</v>
      </c>
    </row>
    <row r="62" spans="2:6" s="6" customFormat="1" x14ac:dyDescent="0.25">
      <c r="B62" s="6">
        <v>29</v>
      </c>
      <c r="C62" s="28">
        <f t="shared" ca="1" si="2"/>
        <v>0.96058767323556549</v>
      </c>
      <c r="D62" s="29">
        <f t="shared" ca="1" si="0"/>
        <v>125.82399414661036</v>
      </c>
      <c r="F62" s="9">
        <f t="shared" ca="1" si="1"/>
        <v>0</v>
      </c>
    </row>
    <row r="63" spans="2:6" s="6" customFormat="1" x14ac:dyDescent="0.25">
      <c r="B63" s="6">
        <v>30</v>
      </c>
      <c r="C63" s="28">
        <f t="shared" ca="1" si="2"/>
        <v>5.6409102426059121E-2</v>
      </c>
      <c r="D63" s="29">
        <f t="shared" ca="1" si="0"/>
        <v>2.2592442794990668</v>
      </c>
      <c r="F63" s="9">
        <f t="shared" ca="1" si="1"/>
        <v>1</v>
      </c>
    </row>
    <row r="64" spans="2:6" s="6" customFormat="1" x14ac:dyDescent="0.25">
      <c r="B64" s="6">
        <v>31</v>
      </c>
      <c r="C64" s="28">
        <f t="shared" ca="1" si="2"/>
        <v>0.15501176148542484</v>
      </c>
      <c r="D64" s="29">
        <f t="shared" ca="1" si="0"/>
        <v>6.5537965229375397</v>
      </c>
      <c r="F64" s="9">
        <f t="shared" ca="1" si="1"/>
        <v>1</v>
      </c>
    </row>
    <row r="65" spans="2:6" s="6" customFormat="1" x14ac:dyDescent="0.25">
      <c r="B65" s="6">
        <v>32</v>
      </c>
      <c r="C65" s="28">
        <f t="shared" ca="1" si="2"/>
        <v>3.8003569662964032E-2</v>
      </c>
      <c r="D65" s="29">
        <f t="shared" ca="1" si="0"/>
        <v>1.507569610571085</v>
      </c>
      <c r="F65" s="9">
        <f t="shared" ca="1" si="1"/>
        <v>1</v>
      </c>
    </row>
    <row r="66" spans="2:6" s="6" customFormat="1" x14ac:dyDescent="0.25">
      <c r="B66" s="6">
        <v>33</v>
      </c>
      <c r="C66" s="28">
        <f t="shared" ca="1" si="2"/>
        <v>0.69995875635707039</v>
      </c>
      <c r="D66" s="29">
        <f t="shared" ca="1" si="0"/>
        <v>46.841841827451987</v>
      </c>
      <c r="F66" s="9">
        <f t="shared" ca="1" si="1"/>
        <v>1</v>
      </c>
    </row>
    <row r="67" spans="2:6" s="6" customFormat="1" x14ac:dyDescent="0.25">
      <c r="B67" s="6">
        <v>34</v>
      </c>
      <c r="C67" s="28">
        <f t="shared" ca="1" si="2"/>
        <v>0.88609749907580171</v>
      </c>
      <c r="D67" s="29">
        <f t="shared" ca="1" si="0"/>
        <v>84.529667376567986</v>
      </c>
      <c r="F67" s="9">
        <f t="shared" ca="1" si="1"/>
        <v>0</v>
      </c>
    </row>
    <row r="68" spans="2:6" s="6" customFormat="1" x14ac:dyDescent="0.25">
      <c r="B68" s="6">
        <v>35</v>
      </c>
      <c r="C68" s="28">
        <f t="shared" ca="1" si="2"/>
        <v>0.63155611534879597</v>
      </c>
      <c r="D68" s="29">
        <f t="shared" ca="1" si="0"/>
        <v>38.850850560570201</v>
      </c>
      <c r="F68" s="9">
        <f t="shared" ca="1" si="1"/>
        <v>1</v>
      </c>
    </row>
    <row r="69" spans="2:6" s="6" customFormat="1" x14ac:dyDescent="0.25">
      <c r="B69" s="6">
        <v>36</v>
      </c>
      <c r="C69" s="28">
        <f t="shared" ca="1" si="2"/>
        <v>0.4729706253741407</v>
      </c>
      <c r="D69" s="29">
        <f t="shared" ca="1" si="0"/>
        <v>24.922139792457081</v>
      </c>
      <c r="F69" s="9">
        <f t="shared" ca="1" si="1"/>
        <v>1</v>
      </c>
    </row>
    <row r="70" spans="2:6" s="6" customFormat="1" x14ac:dyDescent="0.25">
      <c r="B70" s="6">
        <v>37</v>
      </c>
      <c r="C70" s="28">
        <f t="shared" ca="1" si="2"/>
        <v>0.83445206892001866</v>
      </c>
      <c r="D70" s="29">
        <f t="shared" ca="1" si="0"/>
        <v>69.980331218625352</v>
      </c>
      <c r="F70" s="9">
        <f t="shared" ca="1" si="1"/>
        <v>0</v>
      </c>
    </row>
    <row r="71" spans="2:6" s="6" customFormat="1" x14ac:dyDescent="0.25">
      <c r="B71" s="6">
        <v>38</v>
      </c>
      <c r="C71" s="28">
        <f t="shared" ca="1" si="2"/>
        <v>0.72355242891472671</v>
      </c>
      <c r="D71" s="29">
        <f t="shared" ca="1" si="0"/>
        <v>50.028563903786839</v>
      </c>
      <c r="F71" s="9">
        <f t="shared" ca="1" si="1"/>
        <v>0</v>
      </c>
    </row>
    <row r="72" spans="2:6" s="6" customFormat="1" x14ac:dyDescent="0.25">
      <c r="B72" s="6">
        <v>39</v>
      </c>
      <c r="C72" s="28">
        <f t="shared" ca="1" si="2"/>
        <v>0.30248372595544482</v>
      </c>
      <c r="D72" s="29">
        <f t="shared" ca="1" si="0"/>
        <v>14.016709478415658</v>
      </c>
      <c r="F72" s="9">
        <f t="shared" ca="1" si="1"/>
        <v>1</v>
      </c>
    </row>
    <row r="73" spans="2:6" s="6" customFormat="1" x14ac:dyDescent="0.25">
      <c r="B73" s="6">
        <v>40</v>
      </c>
      <c r="C73" s="28">
        <f t="shared" ca="1" si="2"/>
        <v>0.25908436909436849</v>
      </c>
      <c r="D73" s="29">
        <f t="shared" ca="1" si="0"/>
        <v>11.668035743010153</v>
      </c>
      <c r="F73" s="9">
        <f t="shared" ca="1" si="1"/>
        <v>1</v>
      </c>
    </row>
    <row r="74" spans="2:6" s="6" customFormat="1" x14ac:dyDescent="0.25">
      <c r="B74" s="6">
        <v>41</v>
      </c>
      <c r="C74" s="28">
        <f t="shared" ca="1" si="2"/>
        <v>0.2426982851139079</v>
      </c>
      <c r="D74" s="29">
        <f t="shared" ca="1" si="0"/>
        <v>10.816869198093926</v>
      </c>
      <c r="F74" s="9">
        <f t="shared" ca="1" si="1"/>
        <v>1</v>
      </c>
    </row>
    <row r="75" spans="2:6" s="6" customFormat="1" x14ac:dyDescent="0.25">
      <c r="B75" s="6">
        <v>42</v>
      </c>
      <c r="C75" s="28">
        <f t="shared" ca="1" si="2"/>
        <v>2.5017305957230174E-2</v>
      </c>
      <c r="D75" s="29">
        <f t="shared" ca="1" si="0"/>
        <v>0.98581937126618335</v>
      </c>
      <c r="F75" s="9">
        <f t="shared" ca="1" si="1"/>
        <v>1</v>
      </c>
    </row>
    <row r="76" spans="2:6" s="6" customFormat="1" x14ac:dyDescent="0.25">
      <c r="B76" s="6">
        <v>43</v>
      </c>
      <c r="C76" s="28">
        <f t="shared" ca="1" si="2"/>
        <v>0.27417219987877273</v>
      </c>
      <c r="D76" s="29">
        <f t="shared" ca="1" si="0"/>
        <v>12.468579074201662</v>
      </c>
      <c r="F76" s="9">
        <f t="shared" ca="1" si="1"/>
        <v>1</v>
      </c>
    </row>
    <row r="77" spans="2:6" s="6" customFormat="1" x14ac:dyDescent="0.25">
      <c r="B77" s="6">
        <v>44</v>
      </c>
      <c r="C77" s="28">
        <f t="shared" ca="1" si="2"/>
        <v>0.13623127184884931</v>
      </c>
      <c r="D77" s="29">
        <f t="shared" ca="1" si="0"/>
        <v>5.698452208584146</v>
      </c>
      <c r="F77" s="9">
        <f t="shared" ca="1" si="1"/>
        <v>1</v>
      </c>
    </row>
    <row r="78" spans="2:6" s="6" customFormat="1" x14ac:dyDescent="0.25">
      <c r="B78" s="6">
        <v>45</v>
      </c>
      <c r="C78" s="28">
        <f t="shared" ca="1" si="2"/>
        <v>0.12585964294620477</v>
      </c>
      <c r="D78" s="29">
        <f t="shared" ca="1" si="0"/>
        <v>5.2340204134365758</v>
      </c>
      <c r="F78" s="9">
        <f t="shared" ca="1" si="1"/>
        <v>1</v>
      </c>
    </row>
    <row r="79" spans="2:6" s="6" customFormat="1" x14ac:dyDescent="0.25">
      <c r="B79" s="6">
        <v>46</v>
      </c>
      <c r="C79" s="28">
        <f t="shared" ca="1" si="2"/>
        <v>0.79204588972531043</v>
      </c>
      <c r="D79" s="29">
        <f t="shared" ca="1" si="0"/>
        <v>61.106531023392222</v>
      </c>
      <c r="F79" s="9">
        <f t="shared" ca="1" si="1"/>
        <v>0</v>
      </c>
    </row>
    <row r="80" spans="2:6" s="6" customFormat="1" x14ac:dyDescent="0.25">
      <c r="B80" s="6">
        <v>47</v>
      </c>
      <c r="C80" s="28">
        <f t="shared" ca="1" si="2"/>
        <v>0.87360477630455002</v>
      </c>
      <c r="D80" s="29">
        <f t="shared" ca="1" si="0"/>
        <v>80.480217323069098</v>
      </c>
      <c r="F80" s="9">
        <f t="shared" ca="1" si="1"/>
        <v>0</v>
      </c>
    </row>
    <row r="81" spans="2:6" s="6" customFormat="1" x14ac:dyDescent="0.25">
      <c r="B81" s="6">
        <v>48</v>
      </c>
      <c r="C81" s="28">
        <f t="shared" ca="1" si="2"/>
        <v>0.4732159513344254</v>
      </c>
      <c r="D81" s="29">
        <f t="shared" ca="1" si="0"/>
        <v>24.940256391033238</v>
      </c>
      <c r="F81" s="9">
        <f t="shared" ca="1" si="1"/>
        <v>1</v>
      </c>
    </row>
    <row r="82" spans="2:6" s="6" customFormat="1" x14ac:dyDescent="0.25">
      <c r="B82" s="6">
        <v>49</v>
      </c>
      <c r="C82" s="28">
        <f t="shared" ca="1" si="2"/>
        <v>0.80421719026702398</v>
      </c>
      <c r="D82" s="29">
        <f t="shared" ca="1" si="0"/>
        <v>63.453282014424218</v>
      </c>
      <c r="F82" s="9">
        <f t="shared" ca="1" si="1"/>
        <v>0</v>
      </c>
    </row>
    <row r="83" spans="2:6" s="6" customFormat="1" x14ac:dyDescent="0.25">
      <c r="B83" s="6">
        <v>50</v>
      </c>
      <c r="C83" s="28">
        <f t="shared" ca="1" si="2"/>
        <v>0.42104911336746587</v>
      </c>
      <c r="D83" s="29">
        <f t="shared" ca="1" si="0"/>
        <v>21.266055621626204</v>
      </c>
      <c r="F83" s="9">
        <f t="shared" ca="1" si="1"/>
        <v>1</v>
      </c>
    </row>
    <row r="84" spans="2:6" s="6" customFormat="1" x14ac:dyDescent="0.25">
      <c r="B84" s="6">
        <v>51</v>
      </c>
      <c r="C84" s="28">
        <f t="shared" ca="1" si="2"/>
        <v>0.81188067698258648</v>
      </c>
      <c r="D84" s="29">
        <f t="shared" ca="1" si="0"/>
        <v>65.006957999453064</v>
      </c>
      <c r="F84" s="9">
        <f t="shared" ca="1" si="1"/>
        <v>0</v>
      </c>
    </row>
    <row r="85" spans="2:6" s="6" customFormat="1" x14ac:dyDescent="0.25">
      <c r="B85" s="6">
        <v>52</v>
      </c>
      <c r="C85" s="28">
        <f t="shared" ca="1" si="2"/>
        <v>0.62351418145937876</v>
      </c>
      <c r="D85" s="29">
        <f t="shared" ca="1" si="0"/>
        <v>38.010696459547326</v>
      </c>
      <c r="F85" s="9">
        <f t="shared" ca="1" si="1"/>
        <v>1</v>
      </c>
    </row>
    <row r="86" spans="2:6" s="6" customFormat="1" x14ac:dyDescent="0.25">
      <c r="B86" s="6">
        <v>53</v>
      </c>
      <c r="C86" s="28">
        <f t="shared" ca="1" si="2"/>
        <v>0.83146327528193353</v>
      </c>
      <c r="D86" s="29">
        <f t="shared" ca="1" si="0"/>
        <v>69.284109030680824</v>
      </c>
      <c r="F86" s="9">
        <f t="shared" ca="1" si="1"/>
        <v>0</v>
      </c>
    </row>
    <row r="87" spans="2:6" s="6" customFormat="1" x14ac:dyDescent="0.25">
      <c r="B87" s="6">
        <v>54</v>
      </c>
      <c r="C87" s="28">
        <f t="shared" ca="1" si="2"/>
        <v>0.10355927372733165</v>
      </c>
      <c r="D87" s="29">
        <f t="shared" ca="1" si="0"/>
        <v>4.2538173128699093</v>
      </c>
      <c r="F87" s="9">
        <f t="shared" ca="1" si="1"/>
        <v>1</v>
      </c>
    </row>
    <row r="88" spans="2:6" s="6" customFormat="1" x14ac:dyDescent="0.25">
      <c r="B88" s="6">
        <v>55</v>
      </c>
      <c r="C88" s="28">
        <f t="shared" ca="1" si="2"/>
        <v>0.16462489480842291</v>
      </c>
      <c r="D88" s="29">
        <f t="shared" ca="1" si="0"/>
        <v>6.9990049505651992</v>
      </c>
      <c r="F88" s="9">
        <f t="shared" ca="1" si="1"/>
        <v>1</v>
      </c>
    </row>
    <row r="89" spans="2:6" s="6" customFormat="1" x14ac:dyDescent="0.25">
      <c r="B89" s="6">
        <v>56</v>
      </c>
      <c r="C89" s="28">
        <f t="shared" ca="1" si="2"/>
        <v>0.11458092844871182</v>
      </c>
      <c r="D89" s="29">
        <f t="shared" ca="1" si="0"/>
        <v>4.7351836138608592</v>
      </c>
      <c r="F89" s="9">
        <f t="shared" ca="1" si="1"/>
        <v>1</v>
      </c>
    </row>
    <row r="90" spans="2:6" s="6" customFormat="1" x14ac:dyDescent="0.25">
      <c r="B90" s="6">
        <v>57</v>
      </c>
      <c r="C90" s="28">
        <f t="shared" ca="1" si="2"/>
        <v>0.88150723185659097</v>
      </c>
      <c r="D90" s="29">
        <f t="shared" ca="1" si="0"/>
        <v>82.992348194354761</v>
      </c>
      <c r="F90" s="9">
        <f t="shared" ca="1" si="1"/>
        <v>0</v>
      </c>
    </row>
    <row r="91" spans="2:6" s="6" customFormat="1" x14ac:dyDescent="0.25">
      <c r="B91" s="6">
        <v>58</v>
      </c>
      <c r="C91" s="28">
        <f t="shared" ca="1" si="2"/>
        <v>0.7497106332565614</v>
      </c>
      <c r="D91" s="29">
        <f t="shared" ca="1" si="0"/>
        <v>53.896403248816519</v>
      </c>
      <c r="F91" s="9">
        <f t="shared" ca="1" si="1"/>
        <v>0</v>
      </c>
    </row>
    <row r="92" spans="2:6" s="6" customFormat="1" x14ac:dyDescent="0.25">
      <c r="B92" s="6">
        <v>59</v>
      </c>
      <c r="C92" s="28">
        <f t="shared" ca="1" si="2"/>
        <v>0.68313901749345529</v>
      </c>
      <c r="D92" s="29">
        <f t="shared" ca="1" si="0"/>
        <v>44.719538610151595</v>
      </c>
      <c r="F92" s="9">
        <f t="shared" ca="1" si="1"/>
        <v>1</v>
      </c>
    </row>
    <row r="93" spans="2:6" s="6" customFormat="1" x14ac:dyDescent="0.25">
      <c r="B93" s="6">
        <v>60</v>
      </c>
      <c r="C93" s="28">
        <f t="shared" ca="1" si="2"/>
        <v>0.67019832478639685</v>
      </c>
      <c r="D93" s="29">
        <f t="shared" ca="1" si="0"/>
        <v>43.162015151214248</v>
      </c>
      <c r="F93" s="9">
        <f t="shared" ca="1" si="1"/>
        <v>1</v>
      </c>
    </row>
    <row r="94" spans="2:6" s="6" customFormat="1" x14ac:dyDescent="0.25">
      <c r="B94" s="6">
        <v>61</v>
      </c>
      <c r="C94" s="28">
        <f t="shared" ca="1" si="2"/>
        <v>0.85890420852095517</v>
      </c>
      <c r="D94" s="29">
        <f t="shared" ca="1" si="0"/>
        <v>76.199075761905888</v>
      </c>
      <c r="F94" s="9">
        <f t="shared" ca="1" si="1"/>
        <v>0</v>
      </c>
    </row>
    <row r="95" spans="2:6" s="6" customFormat="1" x14ac:dyDescent="0.25">
      <c r="B95" s="6">
        <v>62</v>
      </c>
      <c r="C95" s="28">
        <f t="shared" ca="1" si="2"/>
        <v>0.28760105453232709</v>
      </c>
      <c r="D95" s="29">
        <f t="shared" ca="1" si="0"/>
        <v>13.195222094196582</v>
      </c>
      <c r="F95" s="9">
        <f t="shared" ca="1" si="1"/>
        <v>1</v>
      </c>
    </row>
    <row r="96" spans="2:6" s="6" customFormat="1" x14ac:dyDescent="0.25">
      <c r="B96" s="6">
        <v>63</v>
      </c>
      <c r="C96" s="28">
        <f t="shared" ca="1" si="2"/>
        <v>0.48916694362649649</v>
      </c>
      <c r="D96" s="29">
        <f t="shared" ca="1" si="0"/>
        <v>26.136670895432456</v>
      </c>
      <c r="F96" s="9">
        <f t="shared" ca="1" si="1"/>
        <v>1</v>
      </c>
    </row>
    <row r="97" spans="2:6" s="6" customFormat="1" x14ac:dyDescent="0.25">
      <c r="B97" s="6">
        <v>64</v>
      </c>
      <c r="C97" s="28">
        <f t="shared" ca="1" si="2"/>
        <v>0.28344908458659734</v>
      </c>
      <c r="D97" s="29">
        <f t="shared" ca="1" si="0"/>
        <v>12.96910400583174</v>
      </c>
      <c r="F97" s="9">
        <f t="shared" ca="1" si="1"/>
        <v>1</v>
      </c>
    </row>
    <row r="98" spans="2:6" s="6" customFormat="1" x14ac:dyDescent="0.25">
      <c r="B98" s="6">
        <v>65</v>
      </c>
      <c r="C98" s="28">
        <f t="shared" ca="1" si="2"/>
        <v>0.90893055636693798</v>
      </c>
      <c r="D98" s="29">
        <f t="shared" ca="1" si="0"/>
        <v>93.234745005605603</v>
      </c>
      <c r="F98" s="9">
        <f t="shared" ca="1" si="1"/>
        <v>0</v>
      </c>
    </row>
    <row r="99" spans="2:6" s="6" customFormat="1" x14ac:dyDescent="0.25">
      <c r="B99" s="6">
        <v>66</v>
      </c>
      <c r="C99" s="28">
        <f t="shared" ca="1" si="2"/>
        <v>0.69193269167806382</v>
      </c>
      <c r="D99" s="29">
        <f t="shared" ref="D99:D133" ca="1" si="3">GAMMAINV(C99,1,1/$C$5)</f>
        <v>45.814668730379474</v>
      </c>
      <c r="F99" s="9">
        <f t="shared" ref="F99:F133" ca="1" si="4">IF(D99&gt;$D$13,0,1)</f>
        <v>1</v>
      </c>
    </row>
    <row r="100" spans="2:6" s="6" customFormat="1" x14ac:dyDescent="0.25">
      <c r="B100" s="6">
        <v>67</v>
      </c>
      <c r="C100" s="28">
        <f t="shared" ref="C100:C133" ca="1" si="5">RAND()</f>
        <v>0.71624286109236157</v>
      </c>
      <c r="D100" s="29">
        <f t="shared" ca="1" si="3"/>
        <v>49.013095383546627</v>
      </c>
      <c r="F100" s="9">
        <f t="shared" ca="1" si="4"/>
        <v>1</v>
      </c>
    </row>
    <row r="101" spans="2:6" s="6" customFormat="1" x14ac:dyDescent="0.25">
      <c r="B101" s="6">
        <v>68</v>
      </c>
      <c r="C101" s="28">
        <f t="shared" ca="1" si="5"/>
        <v>0.22899920488421743</v>
      </c>
      <c r="D101" s="29">
        <f t="shared" ca="1" si="3"/>
        <v>10.119294713648353</v>
      </c>
      <c r="F101" s="9">
        <f t="shared" ca="1" si="4"/>
        <v>1</v>
      </c>
    </row>
    <row r="102" spans="2:6" s="6" customFormat="1" x14ac:dyDescent="0.25">
      <c r="B102" s="6">
        <v>69</v>
      </c>
      <c r="C102" s="28">
        <f t="shared" ca="1" si="5"/>
        <v>0.30315779844975776</v>
      </c>
      <c r="D102" s="29">
        <f t="shared" ca="1" si="3"/>
        <v>14.054330368920557</v>
      </c>
      <c r="F102" s="9">
        <f t="shared" ca="1" si="4"/>
        <v>1</v>
      </c>
    </row>
    <row r="103" spans="2:6" s="6" customFormat="1" x14ac:dyDescent="0.25">
      <c r="B103" s="6">
        <v>70</v>
      </c>
      <c r="C103" s="28">
        <f t="shared" ca="1" si="5"/>
        <v>0.42354473001613124</v>
      </c>
      <c r="D103" s="29">
        <f t="shared" ca="1" si="3"/>
        <v>21.434145183257069</v>
      </c>
      <c r="F103" s="9">
        <f t="shared" ca="1" si="4"/>
        <v>1</v>
      </c>
    </row>
    <row r="104" spans="2:6" s="6" customFormat="1" x14ac:dyDescent="0.25">
      <c r="B104" s="6">
        <v>71</v>
      </c>
      <c r="C104" s="28">
        <f t="shared" ca="1" si="5"/>
        <v>0.96687165970866729</v>
      </c>
      <c r="D104" s="29">
        <f t="shared" ca="1" si="3"/>
        <v>132.58234088622686</v>
      </c>
      <c r="F104" s="9">
        <f t="shared" ca="1" si="4"/>
        <v>0</v>
      </c>
    </row>
    <row r="105" spans="2:6" s="6" customFormat="1" x14ac:dyDescent="0.25">
      <c r="B105" s="6">
        <v>72</v>
      </c>
      <c r="C105" s="28">
        <f t="shared" ca="1" si="5"/>
        <v>0.16485825690024258</v>
      </c>
      <c r="D105" s="29">
        <f t="shared" ca="1" si="3"/>
        <v>7.0098761214895013</v>
      </c>
      <c r="F105" s="9">
        <f t="shared" ca="1" si="4"/>
        <v>1</v>
      </c>
    </row>
    <row r="106" spans="2:6" s="6" customFormat="1" x14ac:dyDescent="0.25">
      <c r="B106" s="6">
        <v>73</v>
      </c>
      <c r="C106" s="28">
        <f t="shared" ca="1" si="5"/>
        <v>0.99863962384645821</v>
      </c>
      <c r="D106" s="29">
        <f t="shared" ca="1" si="3"/>
        <v>256.80910638092331</v>
      </c>
      <c r="F106" s="9">
        <f t="shared" ca="1" si="4"/>
        <v>0</v>
      </c>
    </row>
    <row r="107" spans="2:6" s="6" customFormat="1" x14ac:dyDescent="0.25">
      <c r="B107" s="6">
        <v>74</v>
      </c>
      <c r="C107" s="28">
        <f t="shared" ca="1" si="5"/>
        <v>0.86976645358521532</v>
      </c>
      <c r="D107" s="29">
        <f t="shared" ca="1" si="3"/>
        <v>79.316184024869841</v>
      </c>
      <c r="F107" s="9">
        <f t="shared" ca="1" si="4"/>
        <v>0</v>
      </c>
    </row>
    <row r="108" spans="2:6" s="6" customFormat="1" x14ac:dyDescent="0.25">
      <c r="B108" s="6">
        <v>75</v>
      </c>
      <c r="C108" s="28">
        <f t="shared" ca="1" si="5"/>
        <v>0.81858588292960899</v>
      </c>
      <c r="D108" s="29">
        <f t="shared" ca="1" si="3"/>
        <v>66.419179822932676</v>
      </c>
      <c r="F108" s="9">
        <f t="shared" ca="1" si="4"/>
        <v>0</v>
      </c>
    </row>
    <row r="109" spans="2:6" s="6" customFormat="1" x14ac:dyDescent="0.25">
      <c r="B109" s="6">
        <v>76</v>
      </c>
      <c r="C109" s="28">
        <f t="shared" ca="1" si="5"/>
        <v>0.46587771999719163</v>
      </c>
      <c r="D109" s="29">
        <f t="shared" ca="1" si="3"/>
        <v>24.401964103757379</v>
      </c>
      <c r="F109" s="9">
        <f t="shared" ca="1" si="4"/>
        <v>1</v>
      </c>
    </row>
    <row r="110" spans="2:6" s="6" customFormat="1" x14ac:dyDescent="0.25">
      <c r="B110" s="6">
        <v>77</v>
      </c>
      <c r="C110" s="28">
        <f t="shared" ca="1" si="5"/>
        <v>0.11545588036419785</v>
      </c>
      <c r="D110" s="29">
        <f t="shared" ca="1" si="3"/>
        <v>4.7736531419921606</v>
      </c>
      <c r="F110" s="9">
        <f t="shared" ca="1" si="4"/>
        <v>1</v>
      </c>
    </row>
    <row r="111" spans="2:6" s="6" customFormat="1" x14ac:dyDescent="0.25">
      <c r="B111" s="6">
        <v>78</v>
      </c>
      <c r="C111" s="28">
        <f t="shared" ca="1" si="5"/>
        <v>0.14893379201060553</v>
      </c>
      <c r="D111" s="29">
        <f t="shared" ca="1" si="3"/>
        <v>6.2749164674119875</v>
      </c>
      <c r="F111" s="9">
        <f t="shared" ca="1" si="4"/>
        <v>1</v>
      </c>
    </row>
    <row r="112" spans="2:6" s="6" customFormat="1" x14ac:dyDescent="0.25">
      <c r="B112" s="6">
        <v>79</v>
      </c>
      <c r="C112" s="28">
        <f t="shared" ca="1" si="5"/>
        <v>0.58291996801816859</v>
      </c>
      <c r="D112" s="29">
        <f t="shared" ca="1" si="3"/>
        <v>34.026348341650547</v>
      </c>
      <c r="F112" s="9">
        <f t="shared" ca="1" si="4"/>
        <v>1</v>
      </c>
    </row>
    <row r="113" spans="2:6" s="6" customFormat="1" x14ac:dyDescent="0.25">
      <c r="B113" s="6">
        <v>80</v>
      </c>
      <c r="C113" s="28">
        <f t="shared" ca="1" si="5"/>
        <v>0.99399942051015655</v>
      </c>
      <c r="D113" s="29">
        <f t="shared" ca="1" si="3"/>
        <v>199.06222695631178</v>
      </c>
      <c r="F113" s="9">
        <f t="shared" ca="1" si="4"/>
        <v>0</v>
      </c>
    </row>
    <row r="114" spans="2:6" s="6" customFormat="1" x14ac:dyDescent="0.25">
      <c r="B114" s="6">
        <v>81</v>
      </c>
      <c r="C114" s="28">
        <f t="shared" ca="1" si="5"/>
        <v>0.10024976623117732</v>
      </c>
      <c r="D114" s="29">
        <f t="shared" ca="1" si="3"/>
        <v>4.1104308252032489</v>
      </c>
      <c r="F114" s="9">
        <f t="shared" ca="1" si="4"/>
        <v>1</v>
      </c>
    </row>
    <row r="115" spans="2:6" s="6" customFormat="1" x14ac:dyDescent="0.25">
      <c r="B115" s="6">
        <v>82</v>
      </c>
      <c r="C115" s="28">
        <f t="shared" ca="1" si="5"/>
        <v>0.59468038752906205</v>
      </c>
      <c r="D115" s="29">
        <f t="shared" ca="1" si="3"/>
        <v>35.139274572331388</v>
      </c>
      <c r="F115" s="9">
        <f t="shared" ca="1" si="4"/>
        <v>1</v>
      </c>
    </row>
    <row r="116" spans="2:6" s="6" customFormat="1" x14ac:dyDescent="0.25">
      <c r="B116" s="6">
        <v>83</v>
      </c>
      <c r="C116" s="28">
        <f t="shared" ca="1" si="5"/>
        <v>0.11044615886509401</v>
      </c>
      <c r="D116" s="29">
        <f t="shared" ca="1" si="3"/>
        <v>4.553900546516231</v>
      </c>
      <c r="F116" s="9">
        <f t="shared" ca="1" si="4"/>
        <v>1</v>
      </c>
    </row>
    <row r="117" spans="2:6" s="6" customFormat="1" x14ac:dyDescent="0.25">
      <c r="B117" s="6">
        <v>84</v>
      </c>
      <c r="C117" s="28">
        <f t="shared" ca="1" si="5"/>
        <v>0.61024765734149022</v>
      </c>
      <c r="D117" s="29">
        <f t="shared" ca="1" si="3"/>
        <v>36.663181338234629</v>
      </c>
      <c r="F117" s="9">
        <f t="shared" ca="1" si="4"/>
        <v>1</v>
      </c>
    </row>
    <row r="118" spans="2:6" s="6" customFormat="1" x14ac:dyDescent="0.25">
      <c r="B118" s="6">
        <v>85</v>
      </c>
      <c r="C118" s="28">
        <f t="shared" ca="1" si="5"/>
        <v>0.32554058272718522</v>
      </c>
      <c r="D118" s="29">
        <f t="shared" ca="1" si="3"/>
        <v>15.324660399668321</v>
      </c>
      <c r="F118" s="9">
        <f t="shared" ca="1" si="4"/>
        <v>1</v>
      </c>
    </row>
    <row r="119" spans="2:6" s="6" customFormat="1" x14ac:dyDescent="0.25">
      <c r="B119" s="6">
        <v>86</v>
      </c>
      <c r="C119" s="28">
        <f t="shared" ca="1" si="5"/>
        <v>0.52957566280010782</v>
      </c>
      <c r="D119" s="29">
        <f t="shared" ca="1" si="3"/>
        <v>29.343196361532147</v>
      </c>
      <c r="F119" s="9">
        <f t="shared" ca="1" si="4"/>
        <v>1</v>
      </c>
    </row>
    <row r="120" spans="2:6" s="6" customFormat="1" x14ac:dyDescent="0.25">
      <c r="B120" s="6">
        <v>87</v>
      </c>
      <c r="C120" s="28">
        <f t="shared" ca="1" si="5"/>
        <v>8.9452956025750541E-2</v>
      </c>
      <c r="D120" s="29">
        <f t="shared" ca="1" si="3"/>
        <v>3.6462923293152896</v>
      </c>
      <c r="F120" s="9">
        <f t="shared" ca="1" si="4"/>
        <v>1</v>
      </c>
    </row>
    <row r="121" spans="2:6" s="6" customFormat="1" x14ac:dyDescent="0.25">
      <c r="B121" s="6">
        <v>88</v>
      </c>
      <c r="C121" s="28">
        <f t="shared" ca="1" si="5"/>
        <v>7.0359072052694205E-2</v>
      </c>
      <c r="D121" s="29">
        <f t="shared" ca="1" si="3"/>
        <v>2.8387885747715913</v>
      </c>
      <c r="F121" s="9">
        <f t="shared" ca="1" si="4"/>
        <v>1</v>
      </c>
    </row>
    <row r="122" spans="2:6" s="6" customFormat="1" x14ac:dyDescent="0.25">
      <c r="B122" s="6">
        <v>89</v>
      </c>
      <c r="C122" s="28">
        <f t="shared" ca="1" si="5"/>
        <v>0.48457254397682881</v>
      </c>
      <c r="D122" s="29">
        <f t="shared" ca="1" si="3"/>
        <v>25.78827668841031</v>
      </c>
      <c r="F122" s="9">
        <f t="shared" ca="1" si="4"/>
        <v>1</v>
      </c>
    </row>
    <row r="123" spans="2:6" s="6" customFormat="1" x14ac:dyDescent="0.25">
      <c r="B123" s="6">
        <v>90</v>
      </c>
      <c r="C123" s="28">
        <f t="shared" ca="1" si="5"/>
        <v>0.63934102873905796</v>
      </c>
      <c r="D123" s="29">
        <f t="shared" ca="1" si="3"/>
        <v>39.681807201798122</v>
      </c>
      <c r="F123" s="9">
        <f t="shared" ca="1" si="4"/>
        <v>1</v>
      </c>
    </row>
    <row r="124" spans="2:6" s="6" customFormat="1" x14ac:dyDescent="0.25">
      <c r="B124" s="6">
        <v>91</v>
      </c>
      <c r="C124" s="28">
        <f t="shared" ca="1" si="5"/>
        <v>0.67355498737457953</v>
      </c>
      <c r="D124" s="29">
        <f t="shared" ca="1" si="3"/>
        <v>43.560068446401054</v>
      </c>
      <c r="F124" s="9">
        <f t="shared" ca="1" si="4"/>
        <v>1</v>
      </c>
    </row>
    <row r="125" spans="2:6" s="6" customFormat="1" x14ac:dyDescent="0.25">
      <c r="B125" s="6">
        <v>92</v>
      </c>
      <c r="C125" s="28">
        <f t="shared" ca="1" si="5"/>
        <v>0.38137690154309678</v>
      </c>
      <c r="D125" s="29">
        <f t="shared" ca="1" si="3"/>
        <v>18.687123717383258</v>
      </c>
      <c r="F125" s="9">
        <f t="shared" ca="1" si="4"/>
        <v>1</v>
      </c>
    </row>
    <row r="126" spans="2:6" s="6" customFormat="1" x14ac:dyDescent="0.25">
      <c r="B126" s="6">
        <v>93</v>
      </c>
      <c r="C126" s="28">
        <f t="shared" ca="1" si="5"/>
        <v>0.82089202422490914</v>
      </c>
      <c r="D126" s="29">
        <f t="shared" ca="1" si="3"/>
        <v>66.916982038240363</v>
      </c>
      <c r="F126" s="9">
        <f t="shared" ca="1" si="4"/>
        <v>0</v>
      </c>
    </row>
    <row r="127" spans="2:6" s="6" customFormat="1" x14ac:dyDescent="0.25">
      <c r="B127" s="6">
        <v>94</v>
      </c>
      <c r="C127" s="28">
        <f t="shared" ca="1" si="5"/>
        <v>0.70665184322757069</v>
      </c>
      <c r="D127" s="29">
        <f t="shared" ca="1" si="3"/>
        <v>47.719654747212189</v>
      </c>
      <c r="F127" s="9">
        <f t="shared" ca="1" si="4"/>
        <v>1</v>
      </c>
    </row>
    <row r="128" spans="2:6" s="6" customFormat="1" x14ac:dyDescent="0.25">
      <c r="B128" s="6">
        <v>95</v>
      </c>
      <c r="C128" s="28">
        <f t="shared" ca="1" si="5"/>
        <v>1.5930574820525067E-2</v>
      </c>
      <c r="D128" s="29">
        <f t="shared" ca="1" si="3"/>
        <v>0.62485721301639285</v>
      </c>
      <c r="F128" s="9">
        <f t="shared" ca="1" si="4"/>
        <v>1</v>
      </c>
    </row>
    <row r="129" spans="2:6" s="6" customFormat="1" x14ac:dyDescent="0.25">
      <c r="B129" s="6">
        <v>96</v>
      </c>
      <c r="C129" s="28">
        <f t="shared" ca="1" si="5"/>
        <v>1.879999908186003E-2</v>
      </c>
      <c r="D129" s="29">
        <f t="shared" ca="1" si="3"/>
        <v>0.7384811541661902</v>
      </c>
      <c r="F129" s="9">
        <f t="shared" ca="1" si="4"/>
        <v>1</v>
      </c>
    </row>
    <row r="130" spans="2:6" s="6" customFormat="1" x14ac:dyDescent="0.25">
      <c r="B130" s="6">
        <v>97</v>
      </c>
      <c r="C130" s="28">
        <f t="shared" ca="1" si="5"/>
        <v>0.97166122415102163</v>
      </c>
      <c r="D130" s="29">
        <f t="shared" ca="1" si="3"/>
        <v>138.65853077117305</v>
      </c>
      <c r="F130" s="9">
        <f t="shared" ca="1" si="4"/>
        <v>0</v>
      </c>
    </row>
    <row r="131" spans="2:6" s="6" customFormat="1" x14ac:dyDescent="0.25">
      <c r="B131" s="6">
        <v>98</v>
      </c>
      <c r="C131" s="28">
        <f t="shared" ca="1" si="5"/>
        <v>0.78605343206902978</v>
      </c>
      <c r="D131" s="29">
        <f t="shared" ca="1" si="3"/>
        <v>60.001127537032161</v>
      </c>
      <c r="F131" s="9">
        <f t="shared" ca="1" si="4"/>
        <v>0</v>
      </c>
    </row>
    <row r="132" spans="2:6" s="6" customFormat="1" x14ac:dyDescent="0.25">
      <c r="B132" s="6">
        <v>99</v>
      </c>
      <c r="C132" s="28">
        <f t="shared" ca="1" si="5"/>
        <v>4.1145390486690081E-2</v>
      </c>
      <c r="D132" s="29">
        <f t="shared" ca="1" si="3"/>
        <v>1.6348568847866241</v>
      </c>
      <c r="F132" s="9">
        <f t="shared" ca="1" si="4"/>
        <v>1</v>
      </c>
    </row>
    <row r="133" spans="2:6" s="6" customFormat="1" x14ac:dyDescent="0.25">
      <c r="B133" s="6">
        <v>100</v>
      </c>
      <c r="C133" s="28">
        <f t="shared" ca="1" si="5"/>
        <v>0.625598869700003</v>
      </c>
      <c r="D133" s="29">
        <f t="shared" ca="1" si="3"/>
        <v>38.226751572746686</v>
      </c>
      <c r="F133" s="9">
        <f t="shared" ca="1" si="4"/>
        <v>1</v>
      </c>
    </row>
  </sheetData>
  <sheetProtection sheet="1" objects="1" scenarios="1"/>
  <hyperlinks>
    <hyperlink ref="G1" r:id="rId1" xr:uid="{00000000-0004-0000-0500-000000000000}"/>
    <hyperlink ref="F15" r:id="rId2" xr:uid="{00000000-0004-0000-0500-000001000000}"/>
  </hyperlinks>
  <pageMargins left="0.7" right="0.7" top="0.75" bottom="0.75" header="0.3" footer="0.3"/>
  <pageSetup orientation="portrait" verticalDpi="0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2"/>
  <sheetViews>
    <sheetView zoomScale="90" zoomScaleNormal="90" workbookViewId="0">
      <selection activeCell="D16" sqref="D16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9.140625" customWidth="1"/>
    <col min="6" max="6" width="16.85546875" bestFit="1" customWidth="1"/>
    <col min="7" max="7" width="27" customWidth="1"/>
    <col min="8" max="8" width="25.7109375" customWidth="1"/>
    <col min="9" max="9" width="20.7109375" customWidth="1"/>
    <col min="10" max="10" width="11.85546875" bestFit="1" customWidth="1"/>
  </cols>
  <sheetData>
    <row r="1" spans="1:10" s="7" customFormat="1" ht="26.25" x14ac:dyDescent="0.4">
      <c r="A1" s="7" t="s">
        <v>135</v>
      </c>
      <c r="G1" s="66" t="s">
        <v>136</v>
      </c>
    </row>
    <row r="2" spans="1:10" s="7" customFormat="1" ht="11.25" customHeight="1" x14ac:dyDescent="0.4"/>
    <row r="3" spans="1:10" s="7" customFormat="1" ht="19.5" customHeight="1" x14ac:dyDescent="0.4">
      <c r="C3" s="8" t="s">
        <v>137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60</v>
      </c>
      <c r="C5" s="92">
        <v>6.5890000000000004E-2</v>
      </c>
      <c r="E5" s="3" t="s">
        <v>56</v>
      </c>
      <c r="F5" s="3" t="s">
        <v>52</v>
      </c>
      <c r="G5" s="122">
        <f>C5/C6</f>
        <v>1.6638888888888891E-4</v>
      </c>
      <c r="H5" s="3" t="s">
        <v>107</v>
      </c>
      <c r="I5" s="3" t="s">
        <v>60</v>
      </c>
      <c r="J5" s="45">
        <f>C5</f>
        <v>6.5890000000000004E-2</v>
      </c>
    </row>
    <row r="6" spans="1:10" s="1" customFormat="1" ht="19.5" thickBot="1" x14ac:dyDescent="0.35">
      <c r="A6" s="2"/>
      <c r="B6" s="3" t="s">
        <v>61</v>
      </c>
      <c r="C6" s="92">
        <v>396</v>
      </c>
      <c r="F6" s="3" t="s">
        <v>207</v>
      </c>
      <c r="G6" s="122">
        <f>C5</f>
        <v>6.5890000000000004E-2</v>
      </c>
      <c r="H6" s="63" t="s">
        <v>140</v>
      </c>
      <c r="I6" s="3" t="s">
        <v>61</v>
      </c>
      <c r="J6" s="45">
        <f>C6</f>
        <v>396</v>
      </c>
    </row>
    <row r="7" spans="1:10" s="6" customFormat="1" ht="18.75" x14ac:dyDescent="0.3">
      <c r="A7" s="4" t="s">
        <v>9</v>
      </c>
      <c r="B7" s="5"/>
      <c r="G7" s="6" t="s">
        <v>139</v>
      </c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30" x14ac:dyDescent="0.3">
      <c r="A9" s="4"/>
      <c r="B9" s="5"/>
      <c r="C9" s="65" t="s">
        <v>146</v>
      </c>
      <c r="D9" s="11" t="s">
        <v>67</v>
      </c>
      <c r="E9" s="13" t="s">
        <v>141</v>
      </c>
      <c r="F9" s="14" t="s">
        <v>145</v>
      </c>
      <c r="G9" s="15" t="s">
        <v>147</v>
      </c>
      <c r="H9" s="16" t="s">
        <v>142</v>
      </c>
      <c r="I9" s="16" t="s">
        <v>138</v>
      </c>
    </row>
    <row r="10" spans="1:10" s="6" customFormat="1" ht="10.5" customHeight="1" x14ac:dyDescent="0.25"/>
    <row r="11" spans="1:10" s="19" customFormat="1" ht="19.5" thickBot="1" x14ac:dyDescent="0.35">
      <c r="A11" s="2" t="s">
        <v>143</v>
      </c>
    </row>
    <row r="12" spans="1:10" s="1" customFormat="1" ht="19.5" thickBot="1" x14ac:dyDescent="0.35">
      <c r="C12" s="3" t="s">
        <v>20</v>
      </c>
      <c r="D12" s="57">
        <v>0</v>
      </c>
    </row>
    <row r="13" spans="1:10" s="1" customFormat="1" ht="19.5" thickBot="1" x14ac:dyDescent="0.35">
      <c r="C13" s="3" t="s">
        <v>21</v>
      </c>
      <c r="D13" s="57">
        <v>0.5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X ≤ " &amp; D13 &amp;") ="</f>
        <v>Pr(0 ≤ X ≤ 0.5) =</v>
      </c>
      <c r="D15" s="46">
        <f>GAMMADIST($D$13,$C$5,1/$C$6,1)-GAMMADIST($D$12,$C$5,1/$C$6,1)</f>
        <v>1</v>
      </c>
      <c r="F15" s="61" t="s">
        <v>105</v>
      </c>
    </row>
    <row r="16" spans="1:10" s="1" customFormat="1" ht="15.75" x14ac:dyDescent="0.25">
      <c r="C16" s="20" t="str">
        <f>"Pr(X ≤ "&amp;D12&amp;") ="</f>
        <v>Pr(X ≤ 0) =</v>
      </c>
      <c r="D16" s="46">
        <f>GAMMADIST($D$12,$C$5,1/$C$6,1)</f>
        <v>0</v>
      </c>
    </row>
    <row r="17" spans="1:7" s="1" customFormat="1" ht="15.75" x14ac:dyDescent="0.25">
      <c r="C17" s="20" t="str">
        <f>"Pr(X ≤ " &amp; D13 &amp; ") ="</f>
        <v>Pr(X ≤ 0.5) =</v>
      </c>
      <c r="D17" s="46">
        <f>GAMMADIST($D$13,$C$5,1/$C$6,1)</f>
        <v>1</v>
      </c>
    </row>
    <row r="18" spans="1:7" s="1" customFormat="1" ht="15.75" x14ac:dyDescent="0.25">
      <c r="C18" s="20" t="str">
        <f>"Pr(X &gt; " &amp; D13 &amp;") ="</f>
        <v>Pr(X &gt; 0.5) =</v>
      </c>
      <c r="D18" s="46">
        <f>1-GAMMADIST($D$13,$C$5,1/$C$6,1)</f>
        <v>0</v>
      </c>
    </row>
    <row r="19" spans="1:7" s="1" customFormat="1" ht="15.75" x14ac:dyDescent="0.25">
      <c r="C19" s="20"/>
      <c r="D19" s="24"/>
    </row>
    <row r="20" spans="1:7" s="1" customFormat="1" ht="15.75" x14ac:dyDescent="0.25">
      <c r="C20" s="20" t="s">
        <v>52</v>
      </c>
      <c r="D20" s="46">
        <f>C5/C6</f>
        <v>1.6638888888888891E-4</v>
      </c>
    </row>
    <row r="21" spans="1:7" s="1" customFormat="1" ht="15.75" x14ac:dyDescent="0.25">
      <c r="C21" s="20" t="s">
        <v>38</v>
      </c>
      <c r="D21" s="46">
        <f>SQRT($C$5/($C$6^2))</f>
        <v>6.4820827041979999E-4</v>
      </c>
    </row>
    <row r="22" spans="1:7" s="1" customFormat="1" ht="15.75" x14ac:dyDescent="0.25">
      <c r="C22" s="20" t="s">
        <v>34</v>
      </c>
      <c r="D22" s="46">
        <f>D21^2</f>
        <v>4.2017396184062854E-7</v>
      </c>
    </row>
    <row r="23" spans="1:7" s="1" customFormat="1" ht="15.75" x14ac:dyDescent="0.25">
      <c r="C23" s="20"/>
      <c r="D23" s="46"/>
    </row>
    <row r="24" spans="1:7" s="1" customFormat="1" ht="15.75" x14ac:dyDescent="0.25">
      <c r="C24" s="20" t="s">
        <v>35</v>
      </c>
      <c r="D24" s="46">
        <f>GAMMAINV(0.05, $C$5, 1/$C$6)</f>
        <v>2.6850375262164242E-23</v>
      </c>
    </row>
    <row r="25" spans="1:7" s="1" customFormat="1" ht="15.75" x14ac:dyDescent="0.25">
      <c r="C25" s="20" t="s">
        <v>36</v>
      </c>
      <c r="D25" s="46">
        <f>GAMMAINV(0.5, $C$5, 1/$C$6)</f>
        <v>4.0342861905990131E-8</v>
      </c>
    </row>
    <row r="26" spans="1:7" s="1" customFormat="1" ht="15.75" x14ac:dyDescent="0.25">
      <c r="C26" s="20" t="s">
        <v>37</v>
      </c>
      <c r="D26" s="46">
        <f>GAMMAINV(0.95, $C$5, 1/$C$6)</f>
        <v>9.4908028321631752E-4</v>
      </c>
    </row>
    <row r="27" spans="1:7" s="1" customFormat="1" x14ac:dyDescent="0.25"/>
    <row r="28" spans="1:7" s="6" customFormat="1" ht="18.75" x14ac:dyDescent="0.3">
      <c r="A28" s="4" t="s">
        <v>144</v>
      </c>
    </row>
    <row r="29" spans="1:7" s="6" customFormat="1" ht="18.75" x14ac:dyDescent="0.3">
      <c r="A29" s="4"/>
    </row>
    <row r="30" spans="1:7" s="6" customFormat="1" ht="18.75" x14ac:dyDescent="0.3">
      <c r="A30" s="4"/>
      <c r="C30" s="30" t="s">
        <v>44</v>
      </c>
      <c r="D30" s="32">
        <f ca="1">AVERAGE(D33:D132)</f>
        <v>1.8762999540783025E-4</v>
      </c>
      <c r="F30" s="30" t="s">
        <v>45</v>
      </c>
      <c r="G30" s="32">
        <f ca="1">STDEV(D33:D132)</f>
        <v>6.1594671207127372E-4</v>
      </c>
    </row>
    <row r="31" spans="1:7" s="6" customFormat="1" ht="18.75" x14ac:dyDescent="0.3">
      <c r="A31" s="4"/>
    </row>
    <row r="32" spans="1:7" s="6" customFormat="1" ht="15.75" x14ac:dyDescent="0.25">
      <c r="B32" s="31" t="s">
        <v>41</v>
      </c>
      <c r="C32" s="31" t="s">
        <v>42</v>
      </c>
      <c r="D32" s="31" t="s">
        <v>43</v>
      </c>
      <c r="E32" s="33"/>
      <c r="F32" s="34" t="s">
        <v>46</v>
      </c>
    </row>
    <row r="33" spans="2:7" s="6" customFormat="1" x14ac:dyDescent="0.25">
      <c r="B33" s="6">
        <v>1</v>
      </c>
      <c r="C33" s="28">
        <f ca="1">RAND()</f>
        <v>4.3852023432298326E-2</v>
      </c>
      <c r="D33" s="29">
        <f ca="1">GAMMAINV(C33,$C$5,1/$C$6)</f>
        <v>3.665811827002486E-24</v>
      </c>
      <c r="F33" s="9">
        <f ca="1">IF(D33&gt;$D$13,0,1)</f>
        <v>1</v>
      </c>
    </row>
    <row r="34" spans="2:7" s="6" customFormat="1" x14ac:dyDescent="0.25">
      <c r="B34" s="6">
        <v>2</v>
      </c>
      <c r="C34" s="28">
        <f ca="1">RAND()</f>
        <v>0.86144883618986223</v>
      </c>
      <c r="D34" s="29">
        <f t="shared" ref="D34:D97" ca="1" si="0">GAMMAINV(C34,$C$5,1/$C$6)</f>
        <v>1.6507032176550849E-4</v>
      </c>
      <c r="F34" s="9">
        <f t="shared" ref="F34:F97" ca="1" si="1">IF(D34&gt;$D$13,0,1)</f>
        <v>1</v>
      </c>
      <c r="G34" s="36" t="s">
        <v>47</v>
      </c>
    </row>
    <row r="35" spans="2:7" s="6" customFormat="1" x14ac:dyDescent="0.25">
      <c r="B35" s="6">
        <v>3</v>
      </c>
      <c r="C35" s="28">
        <f t="shared" ref="C35:C98" ca="1" si="2">RAND()</f>
        <v>0.34525275150325363</v>
      </c>
      <c r="D35" s="29">
        <f t="shared" ca="1" si="0"/>
        <v>1.4616067771977774E-10</v>
      </c>
      <c r="F35" s="9">
        <f t="shared" ca="1" si="1"/>
        <v>1</v>
      </c>
      <c r="G35" s="47">
        <f ca="1">SUM(F33:F132)/100</f>
        <v>1</v>
      </c>
    </row>
    <row r="36" spans="2:7" s="6" customFormat="1" x14ac:dyDescent="0.25">
      <c r="B36" s="6">
        <v>4</v>
      </c>
      <c r="C36" s="28">
        <f t="shared" ca="1" si="2"/>
        <v>0.91811237187035399</v>
      </c>
      <c r="D36" s="29">
        <f t="shared" ca="1" si="0"/>
        <v>4.8571496062615137E-4</v>
      </c>
      <c r="F36" s="9">
        <f t="shared" ca="1" si="1"/>
        <v>1</v>
      </c>
    </row>
    <row r="37" spans="2:7" s="6" customFormat="1" x14ac:dyDescent="0.25">
      <c r="B37" s="6">
        <v>5</v>
      </c>
      <c r="C37" s="28">
        <f t="shared" ca="1" si="2"/>
        <v>0.48829757727571288</v>
      </c>
      <c r="D37" s="29">
        <f t="shared" ca="1" si="0"/>
        <v>2.8162074938666948E-8</v>
      </c>
      <c r="F37" s="9">
        <f t="shared" ca="1" si="1"/>
        <v>1</v>
      </c>
      <c r="G37" s="36" t="s">
        <v>49</v>
      </c>
    </row>
    <row r="38" spans="2:7" s="6" customFormat="1" x14ac:dyDescent="0.25">
      <c r="B38" s="6">
        <v>6</v>
      </c>
      <c r="C38" s="28">
        <f t="shared" ca="1" si="2"/>
        <v>0.53033287201245749</v>
      </c>
      <c r="D38" s="29">
        <f t="shared" ca="1" si="0"/>
        <v>9.8622677054166872E-8</v>
      </c>
      <c r="F38" s="9">
        <f t="shared" ca="1" si="1"/>
        <v>1</v>
      </c>
      <c r="G38" s="47">
        <f ca="1">PERCENTILE($D$33:$D$132, 0.05)</f>
        <v>5.1477800747385965E-19</v>
      </c>
    </row>
    <row r="39" spans="2:7" s="6" customFormat="1" x14ac:dyDescent="0.25">
      <c r="B39" s="6">
        <v>7</v>
      </c>
      <c r="C39" s="28">
        <f t="shared" ca="1" si="2"/>
        <v>0.77213292019838264</v>
      </c>
      <c r="D39" s="29">
        <f t="shared" ca="1" si="0"/>
        <v>2.9837362775844842E-5</v>
      </c>
      <c r="F39" s="9">
        <f t="shared" ca="1" si="1"/>
        <v>1</v>
      </c>
    </row>
    <row r="40" spans="2:7" s="6" customFormat="1" x14ac:dyDescent="0.25">
      <c r="B40" s="6">
        <v>8</v>
      </c>
      <c r="C40" s="28">
        <f t="shared" ca="1" si="2"/>
        <v>0.41558099963459094</v>
      </c>
      <c r="D40" s="29">
        <f t="shared" ca="1" si="0"/>
        <v>2.4369432270024412E-9</v>
      </c>
      <c r="F40" s="9">
        <f t="shared" ca="1" si="1"/>
        <v>1</v>
      </c>
      <c r="G40" s="36" t="s">
        <v>50</v>
      </c>
    </row>
    <row r="41" spans="2:7" s="6" customFormat="1" x14ac:dyDescent="0.25">
      <c r="B41" s="6">
        <v>9</v>
      </c>
      <c r="C41" s="28">
        <f t="shared" ca="1" si="2"/>
        <v>0.75426345144478046</v>
      </c>
      <c r="D41" s="29">
        <f t="shared" ca="1" si="0"/>
        <v>2.0844088725595595E-5</v>
      </c>
      <c r="F41" s="9">
        <f t="shared" ca="1" si="1"/>
        <v>1</v>
      </c>
      <c r="G41" s="47">
        <f ca="1">PERCENTILE($D$33:$D$132, 0.5)</f>
        <v>1.0239272214137992E-7</v>
      </c>
    </row>
    <row r="42" spans="2:7" s="6" customFormat="1" x14ac:dyDescent="0.25">
      <c r="B42" s="6">
        <v>10</v>
      </c>
      <c r="C42" s="28">
        <f t="shared" ca="1" si="2"/>
        <v>0.39335768894181167</v>
      </c>
      <c r="D42" s="29">
        <f t="shared" ca="1" si="0"/>
        <v>1.0582895065971797E-9</v>
      </c>
      <c r="F42" s="9">
        <f t="shared" ca="1" si="1"/>
        <v>1</v>
      </c>
    </row>
    <row r="43" spans="2:7" s="6" customFormat="1" x14ac:dyDescent="0.25">
      <c r="B43" s="6">
        <v>11</v>
      </c>
      <c r="C43" s="28">
        <f t="shared" ca="1" si="2"/>
        <v>0.63958511828884412</v>
      </c>
      <c r="D43" s="29">
        <f t="shared" ca="1" si="0"/>
        <v>1.6938097087440389E-6</v>
      </c>
      <c r="F43" s="9">
        <f t="shared" ca="1" si="1"/>
        <v>1</v>
      </c>
      <c r="G43" s="36" t="s">
        <v>51</v>
      </c>
    </row>
    <row r="44" spans="2:7" s="6" customFormat="1" x14ac:dyDescent="0.25">
      <c r="B44" s="6">
        <v>12</v>
      </c>
      <c r="C44" s="28">
        <f t="shared" ca="1" si="2"/>
        <v>0.18658678381722071</v>
      </c>
      <c r="D44" s="29">
        <f t="shared" ca="1" si="0"/>
        <v>1.2844965578360772E-14</v>
      </c>
      <c r="F44" s="9">
        <f t="shared" ca="1" si="1"/>
        <v>1</v>
      </c>
      <c r="G44" s="47">
        <f ca="1">PERCENTILE($D$33:$D$132, 0.95)</f>
        <v>8.6145645876652545E-4</v>
      </c>
    </row>
    <row r="45" spans="2:7" s="6" customFormat="1" x14ac:dyDescent="0.25">
      <c r="B45" s="6">
        <v>13</v>
      </c>
      <c r="C45" s="28">
        <f t="shared" ca="1" si="2"/>
        <v>9.7838330785112504E-2</v>
      </c>
      <c r="D45" s="29">
        <f t="shared" ca="1" si="0"/>
        <v>7.138102528864254E-19</v>
      </c>
      <c r="F45" s="9">
        <f t="shared" ca="1" si="1"/>
        <v>1</v>
      </c>
    </row>
    <row r="46" spans="2:7" s="6" customFormat="1" x14ac:dyDescent="0.25">
      <c r="B46" s="6">
        <v>14</v>
      </c>
      <c r="C46" s="28">
        <f t="shared" ca="1" si="2"/>
        <v>0.61873967419890608</v>
      </c>
      <c r="D46" s="29">
        <f t="shared" ca="1" si="0"/>
        <v>1.024133195455962E-6</v>
      </c>
      <c r="F46" s="9">
        <f t="shared" ca="1" si="1"/>
        <v>1</v>
      </c>
    </row>
    <row r="47" spans="2:7" s="6" customFormat="1" x14ac:dyDescent="0.25">
      <c r="B47" s="6">
        <v>15</v>
      </c>
      <c r="C47" s="28">
        <f t="shared" ca="1" si="2"/>
        <v>0.84846118373906199</v>
      </c>
      <c r="D47" s="29">
        <f t="shared" ca="1" si="0"/>
        <v>1.2940001640085271E-4</v>
      </c>
      <c r="F47" s="9">
        <f t="shared" ca="1" si="1"/>
        <v>1</v>
      </c>
    </row>
    <row r="48" spans="2:7" s="6" customFormat="1" x14ac:dyDescent="0.25">
      <c r="B48" s="6">
        <v>16</v>
      </c>
      <c r="C48" s="28">
        <f t="shared" ca="1" si="2"/>
        <v>9.6055581457311967E-2</v>
      </c>
      <c r="D48" s="29">
        <f t="shared" ca="1" si="0"/>
        <v>5.3997575755401552E-19</v>
      </c>
      <c r="F48" s="9">
        <f t="shared" ca="1" si="1"/>
        <v>1</v>
      </c>
    </row>
    <row r="49" spans="2:6" s="6" customFormat="1" x14ac:dyDescent="0.25">
      <c r="B49" s="6">
        <v>17</v>
      </c>
      <c r="C49" s="28">
        <f t="shared" ca="1" si="2"/>
        <v>0.59549663503093142</v>
      </c>
      <c r="D49" s="29">
        <f t="shared" ca="1" si="0"/>
        <v>5.7268223994338822E-7</v>
      </c>
      <c r="F49" s="9">
        <f t="shared" ca="1" si="1"/>
        <v>1</v>
      </c>
    </row>
    <row r="50" spans="2:6" s="6" customFormat="1" x14ac:dyDescent="0.25">
      <c r="B50" s="6">
        <v>18</v>
      </c>
      <c r="C50" s="28">
        <f t="shared" ca="1" si="2"/>
        <v>0.22091428634766797</v>
      </c>
      <c r="D50" s="29">
        <f t="shared" ca="1" si="0"/>
        <v>1.6666505340936341E-13</v>
      </c>
      <c r="F50" s="9">
        <f t="shared" ca="1" si="1"/>
        <v>1</v>
      </c>
    </row>
    <row r="51" spans="2:6" s="6" customFormat="1" x14ac:dyDescent="0.25">
      <c r="B51" s="6">
        <v>19</v>
      </c>
      <c r="C51" s="28">
        <f t="shared" ca="1" si="2"/>
        <v>0.82196628956454698</v>
      </c>
      <c r="D51" s="29">
        <f t="shared" ca="1" si="0"/>
        <v>7.8481025645327316E-5</v>
      </c>
      <c r="F51" s="9">
        <f t="shared" ca="1" si="1"/>
        <v>1</v>
      </c>
    </row>
    <row r="52" spans="2:6" s="6" customFormat="1" x14ac:dyDescent="0.25">
      <c r="B52" s="6">
        <v>20</v>
      </c>
      <c r="C52" s="28">
        <f t="shared" ca="1" si="2"/>
        <v>0.98217221720514492</v>
      </c>
      <c r="D52" s="29">
        <f t="shared" ca="1" si="0"/>
        <v>2.3027536585574441E-3</v>
      </c>
      <c r="F52" s="9">
        <f t="shared" ca="1" si="1"/>
        <v>1</v>
      </c>
    </row>
    <row r="53" spans="2:6" s="6" customFormat="1" x14ac:dyDescent="0.25">
      <c r="B53" s="6">
        <v>21</v>
      </c>
      <c r="C53" s="28">
        <f t="shared" ca="1" si="2"/>
        <v>0.28106509419526571</v>
      </c>
      <c r="D53" s="29">
        <f t="shared" ca="1" si="0"/>
        <v>6.4429170031251946E-12</v>
      </c>
      <c r="F53" s="9">
        <f t="shared" ca="1" si="1"/>
        <v>1</v>
      </c>
    </row>
    <row r="54" spans="2:6" s="6" customFormat="1" x14ac:dyDescent="0.25">
      <c r="B54" s="6">
        <v>22</v>
      </c>
      <c r="C54" s="28">
        <f t="shared" ca="1" si="2"/>
        <v>0.32246156975586471</v>
      </c>
      <c r="D54" s="29">
        <f t="shared" ca="1" si="0"/>
        <v>5.1844027077119971E-11</v>
      </c>
      <c r="F54" s="9">
        <f t="shared" ca="1" si="1"/>
        <v>1</v>
      </c>
    </row>
    <row r="55" spans="2:6" s="6" customFormat="1" x14ac:dyDescent="0.25">
      <c r="B55" s="6">
        <v>23</v>
      </c>
      <c r="C55" s="28">
        <f t="shared" ca="1" si="2"/>
        <v>0.94559425707761546</v>
      </c>
      <c r="D55" s="29">
        <f t="shared" ca="1" si="0"/>
        <v>8.5974633830928531E-4</v>
      </c>
      <c r="F55" s="9">
        <f t="shared" ca="1" si="1"/>
        <v>1</v>
      </c>
    </row>
    <row r="56" spans="2:6" s="6" customFormat="1" x14ac:dyDescent="0.25">
      <c r="B56" s="6">
        <v>24</v>
      </c>
      <c r="C56" s="28">
        <f t="shared" ca="1" si="2"/>
        <v>0.83305594780292069</v>
      </c>
      <c r="D56" s="29">
        <f t="shared" ca="1" si="0"/>
        <v>9.6830145433900511E-5</v>
      </c>
      <c r="F56" s="9">
        <f t="shared" ca="1" si="1"/>
        <v>1</v>
      </c>
    </row>
    <row r="57" spans="2:6" s="6" customFormat="1" x14ac:dyDescent="0.25">
      <c r="B57" s="6">
        <v>25</v>
      </c>
      <c r="C57" s="28">
        <f t="shared" ca="1" si="2"/>
        <v>6.6983790414770206E-2</v>
      </c>
      <c r="D57" s="29">
        <f t="shared" ca="1" si="0"/>
        <v>2.2719610594963915E-21</v>
      </c>
      <c r="F57" s="9">
        <f t="shared" ca="1" si="1"/>
        <v>1</v>
      </c>
    </row>
    <row r="58" spans="2:6" s="6" customFormat="1" x14ac:dyDescent="0.25">
      <c r="B58" s="6">
        <v>26</v>
      </c>
      <c r="C58" s="28">
        <f t="shared" ca="1" si="2"/>
        <v>0.96024811966155932</v>
      </c>
      <c r="D58" s="29">
        <f t="shared" ca="1" si="0"/>
        <v>1.2103955627028352E-3</v>
      </c>
      <c r="F58" s="9">
        <f t="shared" ca="1" si="1"/>
        <v>1</v>
      </c>
    </row>
    <row r="59" spans="2:6" s="6" customFormat="1" x14ac:dyDescent="0.25">
      <c r="B59" s="6">
        <v>27</v>
      </c>
      <c r="C59" s="28">
        <f t="shared" ca="1" si="2"/>
        <v>0.53395414771636851</v>
      </c>
      <c r="D59" s="29">
        <f t="shared" ca="1" si="0"/>
        <v>1.0935340851887555E-7</v>
      </c>
      <c r="F59" s="9">
        <f t="shared" ca="1" si="1"/>
        <v>1</v>
      </c>
    </row>
    <row r="60" spans="2:6" s="6" customFormat="1" x14ac:dyDescent="0.25">
      <c r="B60" s="6">
        <v>28</v>
      </c>
      <c r="C60" s="28">
        <f t="shared" ca="1" si="2"/>
        <v>0.88071539132622112</v>
      </c>
      <c r="D60" s="29">
        <f t="shared" ca="1" si="0"/>
        <v>2.3694415125127835E-4</v>
      </c>
      <c r="F60" s="9">
        <f t="shared" ca="1" si="1"/>
        <v>1</v>
      </c>
    </row>
    <row r="61" spans="2:6" s="6" customFormat="1" x14ac:dyDescent="0.25">
      <c r="B61" s="6">
        <v>29</v>
      </c>
      <c r="C61" s="28">
        <f t="shared" ca="1" si="2"/>
        <v>0.71104375452838364</v>
      </c>
      <c r="D61" s="29">
        <f t="shared" ca="1" si="0"/>
        <v>8.4734455421169874E-6</v>
      </c>
      <c r="F61" s="9">
        <f t="shared" ca="1" si="1"/>
        <v>1</v>
      </c>
    </row>
    <row r="62" spans="2:6" s="6" customFormat="1" x14ac:dyDescent="0.25">
      <c r="B62" s="6">
        <v>30</v>
      </c>
      <c r="C62" s="28">
        <f t="shared" ca="1" si="2"/>
        <v>3.4081303664832419E-3</v>
      </c>
      <c r="D62" s="29">
        <f t="shared" ca="1" si="0"/>
        <v>5.3198914834291436E-41</v>
      </c>
      <c r="F62" s="9">
        <f t="shared" ca="1" si="1"/>
        <v>1</v>
      </c>
    </row>
    <row r="63" spans="2:6" s="6" customFormat="1" x14ac:dyDescent="0.25">
      <c r="B63" s="6">
        <v>31</v>
      </c>
      <c r="C63" s="28">
        <f t="shared" ca="1" si="2"/>
        <v>0.61487870815819812</v>
      </c>
      <c r="D63" s="29">
        <f t="shared" ca="1" si="0"/>
        <v>9.3128618708756241E-7</v>
      </c>
      <c r="F63" s="9">
        <f t="shared" ca="1" si="1"/>
        <v>1</v>
      </c>
    </row>
    <row r="64" spans="2:6" s="6" customFormat="1" x14ac:dyDescent="0.25">
      <c r="B64" s="6">
        <v>32</v>
      </c>
      <c r="C64" s="28">
        <f t="shared" ca="1" si="2"/>
        <v>0.1370403062326494</v>
      </c>
      <c r="D64" s="29">
        <f t="shared" ca="1" si="0"/>
        <v>1.1872612514502581E-16</v>
      </c>
      <c r="F64" s="9">
        <f t="shared" ca="1" si="1"/>
        <v>1</v>
      </c>
    </row>
    <row r="65" spans="2:6" s="6" customFormat="1" x14ac:dyDescent="0.25">
      <c r="B65" s="6">
        <v>33</v>
      </c>
      <c r="C65" s="28">
        <f t="shared" ca="1" si="2"/>
        <v>0.58388121422485528</v>
      </c>
      <c r="D65" s="29">
        <f t="shared" ca="1" si="0"/>
        <v>4.2467346203780431E-7</v>
      </c>
      <c r="F65" s="9">
        <f t="shared" ca="1" si="1"/>
        <v>1</v>
      </c>
    </row>
    <row r="66" spans="2:6" s="6" customFormat="1" x14ac:dyDescent="0.25">
      <c r="B66" s="6">
        <v>34</v>
      </c>
      <c r="C66" s="28">
        <f t="shared" ca="1" si="2"/>
        <v>0.79755124272560851</v>
      </c>
      <c r="D66" s="29">
        <f t="shared" ca="1" si="0"/>
        <v>4.9128793247646308E-5</v>
      </c>
      <c r="F66" s="9">
        <f t="shared" ca="1" si="1"/>
        <v>1</v>
      </c>
    </row>
    <row r="67" spans="2:6" s="6" customFormat="1" x14ac:dyDescent="0.25">
      <c r="B67" s="6">
        <v>35</v>
      </c>
      <c r="C67" s="28">
        <f t="shared" ca="1" si="2"/>
        <v>0.61686546184152735</v>
      </c>
      <c r="D67" s="29">
        <f t="shared" ca="1" si="0"/>
        <v>9.7803279192641649E-7</v>
      </c>
      <c r="F67" s="9">
        <f t="shared" ca="1" si="1"/>
        <v>1</v>
      </c>
    </row>
    <row r="68" spans="2:6" s="6" customFormat="1" x14ac:dyDescent="0.25">
      <c r="B68" s="6">
        <v>36</v>
      </c>
      <c r="C68" s="28">
        <f t="shared" ca="1" si="2"/>
        <v>0.45262238336257976</v>
      </c>
      <c r="D68" s="29">
        <f t="shared" ca="1" si="0"/>
        <v>8.9044639695394335E-9</v>
      </c>
      <c r="F68" s="9">
        <f t="shared" ca="1" si="1"/>
        <v>1</v>
      </c>
    </row>
    <row r="69" spans="2:6" s="6" customFormat="1" x14ac:dyDescent="0.25">
      <c r="B69" s="6">
        <v>37</v>
      </c>
      <c r="C69" s="28">
        <f t="shared" ca="1" si="2"/>
        <v>0.11915392952106663</v>
      </c>
      <c r="D69" s="29">
        <f t="shared" ca="1" si="0"/>
        <v>1.4213715105179059E-17</v>
      </c>
      <c r="F69" s="9">
        <f t="shared" ca="1" si="1"/>
        <v>1</v>
      </c>
    </row>
    <row r="70" spans="2:6" s="6" customFormat="1" x14ac:dyDescent="0.25">
      <c r="B70" s="6">
        <v>38</v>
      </c>
      <c r="C70" s="28">
        <f t="shared" ca="1" si="2"/>
        <v>0.65684667565443278</v>
      </c>
      <c r="D70" s="29">
        <f t="shared" ca="1" si="0"/>
        <v>2.5382276802569946E-6</v>
      </c>
      <c r="F70" s="9">
        <f t="shared" ca="1" si="1"/>
        <v>1</v>
      </c>
    </row>
    <row r="71" spans="2:6" s="6" customFormat="1" x14ac:dyDescent="0.25">
      <c r="B71" s="6">
        <v>39</v>
      </c>
      <c r="C71" s="28">
        <f t="shared" ca="1" si="2"/>
        <v>0.1828799115999864</v>
      </c>
      <c r="D71" s="29">
        <f t="shared" ca="1" si="0"/>
        <v>9.4725942040248374E-15</v>
      </c>
      <c r="F71" s="9">
        <f t="shared" ca="1" si="1"/>
        <v>1</v>
      </c>
    </row>
    <row r="72" spans="2:6" s="6" customFormat="1" x14ac:dyDescent="0.25">
      <c r="B72" s="6">
        <v>40</v>
      </c>
      <c r="C72" s="28">
        <f t="shared" ca="1" si="2"/>
        <v>0.23637045354188357</v>
      </c>
      <c r="D72" s="29">
        <f t="shared" ca="1" si="0"/>
        <v>4.6513405327184776E-13</v>
      </c>
      <c r="F72" s="9">
        <f t="shared" ca="1" si="1"/>
        <v>1</v>
      </c>
    </row>
    <row r="73" spans="2:6" s="6" customFormat="1" x14ac:dyDescent="0.25">
      <c r="B73" s="6">
        <v>41</v>
      </c>
      <c r="C73" s="28">
        <f t="shared" ca="1" si="2"/>
        <v>0.69219822105606887</v>
      </c>
      <c r="D73" s="29">
        <f t="shared" ca="1" si="0"/>
        <v>5.6305598612644724E-6</v>
      </c>
      <c r="F73" s="9">
        <f t="shared" ca="1" si="1"/>
        <v>1</v>
      </c>
    </row>
    <row r="74" spans="2:6" s="6" customFormat="1" x14ac:dyDescent="0.25">
      <c r="B74" s="6">
        <v>42</v>
      </c>
      <c r="C74" s="28">
        <f t="shared" ca="1" si="2"/>
        <v>0.75761266281433159</v>
      </c>
      <c r="D74" s="29">
        <f t="shared" ca="1" si="0"/>
        <v>2.2305938040308739E-5</v>
      </c>
      <c r="F74" s="9">
        <f t="shared" ca="1" si="1"/>
        <v>1</v>
      </c>
    </row>
    <row r="75" spans="2:6" s="6" customFormat="1" x14ac:dyDescent="0.25">
      <c r="B75" s="6">
        <v>43</v>
      </c>
      <c r="C75" s="28">
        <f t="shared" ca="1" si="2"/>
        <v>0.47821405152086549</v>
      </c>
      <c r="D75" s="29">
        <f t="shared" ca="1" si="0"/>
        <v>2.0517648058242236E-8</v>
      </c>
      <c r="F75" s="9">
        <f t="shared" ca="1" si="1"/>
        <v>1</v>
      </c>
    </row>
    <row r="76" spans="2:6" s="6" customFormat="1" x14ac:dyDescent="0.25">
      <c r="B76" s="6">
        <v>44</v>
      </c>
      <c r="C76" s="28">
        <f t="shared" ca="1" si="2"/>
        <v>0.12147552435710907</v>
      </c>
      <c r="D76" s="29">
        <f t="shared" ca="1" si="0"/>
        <v>1.9050024656943576E-17</v>
      </c>
      <c r="F76" s="9">
        <f t="shared" ca="1" si="1"/>
        <v>1</v>
      </c>
    </row>
    <row r="77" spans="2:6" s="6" customFormat="1" x14ac:dyDescent="0.25">
      <c r="B77" s="6">
        <v>45</v>
      </c>
      <c r="C77" s="28">
        <f t="shared" ca="1" si="2"/>
        <v>0.54894095008037169</v>
      </c>
      <c r="D77" s="29">
        <f t="shared" ca="1" si="0"/>
        <v>1.664531675124289E-7</v>
      </c>
      <c r="F77" s="9">
        <f t="shared" ca="1" si="1"/>
        <v>1</v>
      </c>
    </row>
    <row r="78" spans="2:6" s="6" customFormat="1" x14ac:dyDescent="0.25">
      <c r="B78" s="6">
        <v>46</v>
      </c>
      <c r="C78" s="28">
        <f t="shared" ca="1" si="2"/>
        <v>0.42075568139290465</v>
      </c>
      <c r="D78" s="29">
        <f t="shared" ca="1" si="0"/>
        <v>2.9404263465420252E-9</v>
      </c>
      <c r="F78" s="9">
        <f t="shared" ca="1" si="1"/>
        <v>1</v>
      </c>
    </row>
    <row r="79" spans="2:6" s="6" customFormat="1" x14ac:dyDescent="0.25">
      <c r="B79" s="6">
        <v>47</v>
      </c>
      <c r="C79" s="28">
        <f t="shared" ca="1" si="2"/>
        <v>0.99190592623461871</v>
      </c>
      <c r="D79" s="29">
        <f t="shared" ca="1" si="0"/>
        <v>3.5791742867304441E-3</v>
      </c>
      <c r="F79" s="9">
        <f t="shared" ca="1" si="1"/>
        <v>1</v>
      </c>
    </row>
    <row r="80" spans="2:6" s="6" customFormat="1" x14ac:dyDescent="0.25">
      <c r="B80" s="6">
        <v>48</v>
      </c>
      <c r="C80" s="28">
        <f t="shared" ca="1" si="2"/>
        <v>0.65593926718238282</v>
      </c>
      <c r="D80" s="29">
        <f t="shared" ca="1" si="0"/>
        <v>2.4854800257032957E-6</v>
      </c>
      <c r="F80" s="9">
        <f t="shared" ca="1" si="1"/>
        <v>1</v>
      </c>
    </row>
    <row r="81" spans="2:6" s="6" customFormat="1" x14ac:dyDescent="0.25">
      <c r="B81" s="6">
        <v>49</v>
      </c>
      <c r="C81" s="28">
        <f t="shared" ca="1" si="2"/>
        <v>0.41955321378983246</v>
      </c>
      <c r="D81" s="29">
        <f t="shared" ca="1" si="0"/>
        <v>2.8154412586382123E-9</v>
      </c>
      <c r="F81" s="9">
        <f t="shared" ca="1" si="1"/>
        <v>1</v>
      </c>
    </row>
    <row r="82" spans="2:6" s="6" customFormat="1" x14ac:dyDescent="0.25">
      <c r="B82" s="6">
        <v>50</v>
      </c>
      <c r="C82" s="28">
        <f t="shared" ca="1" si="2"/>
        <v>0.58597387944464485</v>
      </c>
      <c r="D82" s="29">
        <f t="shared" ca="1" si="0"/>
        <v>4.4837355081504527E-7</v>
      </c>
      <c r="F82" s="9">
        <f t="shared" ca="1" si="1"/>
        <v>1</v>
      </c>
    </row>
    <row r="83" spans="2:6" s="6" customFormat="1" x14ac:dyDescent="0.25">
      <c r="B83" s="6">
        <v>51</v>
      </c>
      <c r="C83" s="28">
        <f t="shared" ca="1" si="2"/>
        <v>0.48226137617184317</v>
      </c>
      <c r="D83" s="29">
        <f t="shared" ca="1" si="0"/>
        <v>2.3317253794039314E-8</v>
      </c>
      <c r="F83" s="9">
        <f t="shared" ca="1" si="1"/>
        <v>1</v>
      </c>
    </row>
    <row r="84" spans="2:6" s="6" customFormat="1" x14ac:dyDescent="0.25">
      <c r="B84" s="6">
        <v>52</v>
      </c>
      <c r="C84" s="28">
        <f t="shared" ca="1" si="2"/>
        <v>0.51774533337654405</v>
      </c>
      <c r="D84" s="29">
        <f t="shared" ca="1" si="0"/>
        <v>6.8492350834070022E-8</v>
      </c>
      <c r="F84" s="9">
        <f t="shared" ca="1" si="1"/>
        <v>1</v>
      </c>
    </row>
    <row r="85" spans="2:6" s="6" customFormat="1" x14ac:dyDescent="0.25">
      <c r="B85" s="6">
        <v>53</v>
      </c>
      <c r="C85" s="28">
        <f t="shared" ca="1" si="2"/>
        <v>0.31147526872636599</v>
      </c>
      <c r="D85" s="29">
        <f t="shared" ca="1" si="0"/>
        <v>3.0635222643381182E-11</v>
      </c>
      <c r="F85" s="9">
        <f t="shared" ca="1" si="1"/>
        <v>1</v>
      </c>
    </row>
    <row r="86" spans="2:6" s="6" customFormat="1" x14ac:dyDescent="0.25">
      <c r="B86" s="6">
        <v>54</v>
      </c>
      <c r="C86" s="28">
        <f t="shared" ca="1" si="2"/>
        <v>0.73479148268517924</v>
      </c>
      <c r="D86" s="29">
        <f t="shared" ca="1" si="0"/>
        <v>1.3979322276918786E-5</v>
      </c>
      <c r="F86" s="9">
        <f t="shared" ca="1" si="1"/>
        <v>1</v>
      </c>
    </row>
    <row r="87" spans="2:6" s="6" customFormat="1" x14ac:dyDescent="0.25">
      <c r="B87" s="6">
        <v>55</v>
      </c>
      <c r="C87" s="28">
        <f t="shared" ca="1" si="2"/>
        <v>8.0361443764415785E-2</v>
      </c>
      <c r="D87" s="29">
        <f t="shared" ca="1" si="0"/>
        <v>3.6020755950895832E-20</v>
      </c>
      <c r="F87" s="9">
        <f t="shared" ca="1" si="1"/>
        <v>1</v>
      </c>
    </row>
    <row r="88" spans="2:6" s="6" customFormat="1" x14ac:dyDescent="0.25">
      <c r="B88" s="6">
        <v>56</v>
      </c>
      <c r="C88" s="28">
        <f t="shared" ca="1" si="2"/>
        <v>0.27758209584071036</v>
      </c>
      <c r="D88" s="29">
        <f t="shared" ca="1" si="0"/>
        <v>5.332036161091039E-12</v>
      </c>
      <c r="F88" s="9">
        <f t="shared" ca="1" si="1"/>
        <v>1</v>
      </c>
    </row>
    <row r="89" spans="2:6" s="6" customFormat="1" x14ac:dyDescent="0.25">
      <c r="B89" s="6">
        <v>57</v>
      </c>
      <c r="C89" s="28">
        <f t="shared" ca="1" si="2"/>
        <v>0.21907189264688809</v>
      </c>
      <c r="D89" s="29">
        <f t="shared" ca="1" si="0"/>
        <v>1.4677237914944668E-13</v>
      </c>
      <c r="F89" s="9">
        <f t="shared" ca="1" si="1"/>
        <v>1</v>
      </c>
    </row>
    <row r="90" spans="2:6" s="6" customFormat="1" x14ac:dyDescent="0.25">
      <c r="B90" s="6">
        <v>58</v>
      </c>
      <c r="C90" s="28">
        <f t="shared" ca="1" si="2"/>
        <v>0.82493255459938863</v>
      </c>
      <c r="D90" s="29">
        <f t="shared" ca="1" si="0"/>
        <v>8.3029249046825244E-5</v>
      </c>
      <c r="F90" s="9">
        <f t="shared" ca="1" si="1"/>
        <v>1</v>
      </c>
    </row>
    <row r="91" spans="2:6" s="6" customFormat="1" x14ac:dyDescent="0.25">
      <c r="B91" s="6">
        <v>59</v>
      </c>
      <c r="C91" s="28">
        <f t="shared" ca="1" si="2"/>
        <v>0.99402498753650559</v>
      </c>
      <c r="D91" s="29">
        <f t="shared" ca="1" si="0"/>
        <v>4.1085038613687926E-3</v>
      </c>
      <c r="F91" s="9">
        <f t="shared" ca="1" si="1"/>
        <v>1</v>
      </c>
    </row>
    <row r="92" spans="2:6" s="6" customFormat="1" x14ac:dyDescent="0.25">
      <c r="B92" s="6">
        <v>60</v>
      </c>
      <c r="C92" s="28">
        <f t="shared" ca="1" si="2"/>
        <v>0.10496330429941447</v>
      </c>
      <c r="D92" s="29">
        <f t="shared" ca="1" si="0"/>
        <v>2.0744711780798211E-18</v>
      </c>
      <c r="F92" s="9">
        <f t="shared" ca="1" si="1"/>
        <v>1</v>
      </c>
    </row>
    <row r="93" spans="2:6" s="6" customFormat="1" x14ac:dyDescent="0.25">
      <c r="B93" s="6">
        <v>61</v>
      </c>
      <c r="C93" s="28">
        <f t="shared" ca="1" si="2"/>
        <v>0.53291340750812399</v>
      </c>
      <c r="D93" s="29">
        <f t="shared" ca="1" si="0"/>
        <v>1.0616276722859295E-7</v>
      </c>
      <c r="F93" s="9">
        <f t="shared" ca="1" si="1"/>
        <v>1</v>
      </c>
    </row>
    <row r="94" spans="2:6" s="6" customFormat="1" x14ac:dyDescent="0.25">
      <c r="B94" s="6">
        <v>62</v>
      </c>
      <c r="C94" s="28">
        <f t="shared" ca="1" si="2"/>
        <v>0.80816181365040218</v>
      </c>
      <c r="D94" s="29">
        <f t="shared" ca="1" si="0"/>
        <v>6.0287848347328794E-5</v>
      </c>
      <c r="F94" s="9">
        <f t="shared" ca="1" si="1"/>
        <v>1</v>
      </c>
    </row>
    <row r="95" spans="2:6" s="6" customFormat="1" x14ac:dyDescent="0.25">
      <c r="B95" s="6">
        <v>63</v>
      </c>
      <c r="C95" s="28">
        <f t="shared" ca="1" si="2"/>
        <v>0.89338064047292343</v>
      </c>
      <c r="D95" s="29">
        <f t="shared" ca="1" si="0"/>
        <v>3.0103145369124825E-4</v>
      </c>
      <c r="F95" s="9">
        <f t="shared" ca="1" si="1"/>
        <v>1</v>
      </c>
    </row>
    <row r="96" spans="2:6" s="6" customFormat="1" x14ac:dyDescent="0.25">
      <c r="B96" s="6">
        <v>64</v>
      </c>
      <c r="C96" s="28">
        <f t="shared" ca="1" si="2"/>
        <v>0.8862301490161919</v>
      </c>
      <c r="D96" s="29">
        <f t="shared" ca="1" si="0"/>
        <v>2.6290247098072428E-4</v>
      </c>
      <c r="F96" s="9">
        <f t="shared" ca="1" si="1"/>
        <v>1</v>
      </c>
    </row>
    <row r="97" spans="2:6" s="6" customFormat="1" x14ac:dyDescent="0.25">
      <c r="B97" s="6">
        <v>65</v>
      </c>
      <c r="C97" s="28">
        <f t="shared" ca="1" si="2"/>
        <v>0.32076926115589577</v>
      </c>
      <c r="D97" s="29">
        <f t="shared" ca="1" si="0"/>
        <v>4.7864814332983291E-11</v>
      </c>
      <c r="F97" s="9">
        <f t="shared" ca="1" si="1"/>
        <v>1</v>
      </c>
    </row>
    <row r="98" spans="2:6" s="6" customFormat="1" x14ac:dyDescent="0.25">
      <c r="B98" s="6">
        <v>66</v>
      </c>
      <c r="C98" s="28">
        <f t="shared" ca="1" si="2"/>
        <v>0.48477998435575032</v>
      </c>
      <c r="D98" s="29">
        <f t="shared" ref="D98:D132" ca="1" si="3">GAMMAINV(C98,$C$5,1/$C$6)</f>
        <v>2.5235428107775587E-8</v>
      </c>
      <c r="F98" s="9">
        <f t="shared" ref="F98:F132" ca="1" si="4">IF(D98&gt;$D$13,0,1)</f>
        <v>1</v>
      </c>
    </row>
    <row r="99" spans="2:6" s="6" customFormat="1" x14ac:dyDescent="0.25">
      <c r="B99" s="6">
        <v>67</v>
      </c>
      <c r="C99" s="28">
        <f t="shared" ref="C99:C132" ca="1" si="5">RAND()</f>
        <v>0.26547783741879061</v>
      </c>
      <c r="D99" s="29">
        <f t="shared" ca="1" si="3"/>
        <v>2.7103276506751071E-12</v>
      </c>
      <c r="F99" s="9">
        <f t="shared" ca="1" si="4"/>
        <v>1</v>
      </c>
    </row>
    <row r="100" spans="2:6" s="6" customFormat="1" x14ac:dyDescent="0.25">
      <c r="B100" s="6">
        <v>68</v>
      </c>
      <c r="C100" s="28">
        <f t="shared" ca="1" si="5"/>
        <v>0.58441284765272639</v>
      </c>
      <c r="D100" s="29">
        <f t="shared" ca="1" si="3"/>
        <v>4.3058088427130826E-7</v>
      </c>
      <c r="F100" s="9">
        <f t="shared" ca="1" si="4"/>
        <v>1</v>
      </c>
    </row>
    <row r="101" spans="2:6" s="6" customFormat="1" x14ac:dyDescent="0.25">
      <c r="B101" s="6">
        <v>69</v>
      </c>
      <c r="C101" s="28">
        <f t="shared" ca="1" si="5"/>
        <v>4.990088272798332E-2</v>
      </c>
      <c r="D101" s="29">
        <f t="shared" ca="1" si="3"/>
        <v>2.6053816332427971E-23</v>
      </c>
      <c r="F101" s="9">
        <f t="shared" ca="1" si="4"/>
        <v>1</v>
      </c>
    </row>
    <row r="102" spans="2:6" s="6" customFormat="1" x14ac:dyDescent="0.25">
      <c r="B102" s="6">
        <v>70</v>
      </c>
      <c r="C102" s="28">
        <f t="shared" ca="1" si="5"/>
        <v>0.73539441518793991</v>
      </c>
      <c r="D102" s="29">
        <f t="shared" ca="1" si="3"/>
        <v>1.4155350814559227E-5</v>
      </c>
      <c r="F102" s="9">
        <f t="shared" ca="1" si="4"/>
        <v>1</v>
      </c>
    </row>
    <row r="103" spans="2:6" s="6" customFormat="1" x14ac:dyDescent="0.25">
      <c r="B103" s="6">
        <v>71</v>
      </c>
      <c r="C103" s="28">
        <f t="shared" ca="1" si="5"/>
        <v>0.45576778591617728</v>
      </c>
      <c r="D103" s="29">
        <f t="shared" ca="1" si="3"/>
        <v>9.8913071927456949E-9</v>
      </c>
      <c r="F103" s="9">
        <f t="shared" ca="1" si="4"/>
        <v>1</v>
      </c>
    </row>
    <row r="104" spans="2:6" s="6" customFormat="1" x14ac:dyDescent="0.25">
      <c r="B104" s="6">
        <v>72</v>
      </c>
      <c r="C104" s="28">
        <f t="shared" ca="1" si="5"/>
        <v>0.80057611406917428</v>
      </c>
      <c r="D104" s="29">
        <f t="shared" ca="1" si="3"/>
        <v>5.2090778952286108E-5</v>
      </c>
      <c r="F104" s="9">
        <f t="shared" ca="1" si="4"/>
        <v>1</v>
      </c>
    </row>
    <row r="105" spans="2:6" s="6" customFormat="1" x14ac:dyDescent="0.25">
      <c r="B105" s="6">
        <v>73</v>
      </c>
      <c r="C105" s="28">
        <f t="shared" ca="1" si="5"/>
        <v>0.39404831582946342</v>
      </c>
      <c r="D105" s="29">
        <f t="shared" ca="1" si="3"/>
        <v>1.0868426508701567E-9</v>
      </c>
      <c r="F105" s="9">
        <f t="shared" ca="1" si="4"/>
        <v>1</v>
      </c>
    </row>
    <row r="106" spans="2:6" s="6" customFormat="1" x14ac:dyDescent="0.25">
      <c r="B106" s="6">
        <v>74</v>
      </c>
      <c r="C106" s="28">
        <f t="shared" ca="1" si="5"/>
        <v>0.93459217933152761</v>
      </c>
      <c r="D106" s="29">
        <f t="shared" ca="1" si="3"/>
        <v>6.7879946619036507E-4</v>
      </c>
      <c r="F106" s="9">
        <f t="shared" ca="1" si="4"/>
        <v>1</v>
      </c>
    </row>
    <row r="107" spans="2:6" s="6" customFormat="1" x14ac:dyDescent="0.25">
      <c r="B107" s="6">
        <v>75</v>
      </c>
      <c r="C107" s="28">
        <f t="shared" ca="1" si="5"/>
        <v>0.17393809435950547</v>
      </c>
      <c r="D107" s="29">
        <f t="shared" ca="1" si="3"/>
        <v>4.426394549744789E-15</v>
      </c>
      <c r="F107" s="9">
        <f t="shared" ca="1" si="4"/>
        <v>1</v>
      </c>
    </row>
    <row r="108" spans="2:6" s="6" customFormat="1" x14ac:dyDescent="0.25">
      <c r="B108" s="6">
        <v>76</v>
      </c>
      <c r="C108" s="28">
        <f t="shared" ca="1" si="5"/>
        <v>0.71616910213553953</v>
      </c>
      <c r="D108" s="29">
        <f t="shared" ca="1" si="3"/>
        <v>9.4527489506252289E-6</v>
      </c>
      <c r="F108" s="9">
        <f t="shared" ca="1" si="4"/>
        <v>1</v>
      </c>
    </row>
    <row r="109" spans="2:6" s="6" customFormat="1" x14ac:dyDescent="0.25">
      <c r="B109" s="6">
        <v>77</v>
      </c>
      <c r="C109" s="28">
        <f t="shared" ca="1" si="5"/>
        <v>0.94734800835662181</v>
      </c>
      <c r="D109" s="29">
        <f t="shared" ca="1" si="3"/>
        <v>8.9394874745409058E-4</v>
      </c>
      <c r="F109" s="9">
        <f t="shared" ca="1" si="4"/>
        <v>1</v>
      </c>
    </row>
    <row r="110" spans="2:6" s="6" customFormat="1" x14ac:dyDescent="0.25">
      <c r="B110" s="6">
        <v>78</v>
      </c>
      <c r="C110" s="28">
        <f t="shared" ca="1" si="5"/>
        <v>0.55116927297167873</v>
      </c>
      <c r="D110" s="29">
        <f t="shared" ca="1" si="3"/>
        <v>1.7700900826927166E-7</v>
      </c>
      <c r="F110" s="9">
        <f t="shared" ca="1" si="4"/>
        <v>1</v>
      </c>
    </row>
    <row r="111" spans="2:6" s="6" customFormat="1" x14ac:dyDescent="0.25">
      <c r="B111" s="6">
        <v>79</v>
      </c>
      <c r="C111" s="28">
        <f t="shared" ca="1" si="5"/>
        <v>0.3593656975429349</v>
      </c>
      <c r="D111" s="29">
        <f t="shared" ca="1" si="3"/>
        <v>2.6847202694789581E-10</v>
      </c>
      <c r="F111" s="9">
        <f t="shared" ca="1" si="4"/>
        <v>1</v>
      </c>
    </row>
    <row r="112" spans="2:6" s="6" customFormat="1" x14ac:dyDescent="0.25">
      <c r="B112" s="6">
        <v>80</v>
      </c>
      <c r="C112" s="28">
        <f t="shared" ca="1" si="5"/>
        <v>0.31545072515271155</v>
      </c>
      <c r="D112" s="29">
        <f t="shared" ca="1" si="3"/>
        <v>3.713764129647166E-11</v>
      </c>
      <c r="F112" s="9">
        <f t="shared" ca="1" si="4"/>
        <v>1</v>
      </c>
    </row>
    <row r="113" spans="2:6" s="6" customFormat="1" x14ac:dyDescent="0.25">
      <c r="B113" s="6">
        <v>81</v>
      </c>
      <c r="C113" s="28">
        <f t="shared" ca="1" si="5"/>
        <v>0.94282192059212422</v>
      </c>
      <c r="D113" s="29">
        <f t="shared" ca="1" si="3"/>
        <v>8.0900184943660575E-4</v>
      </c>
      <c r="F113" s="9">
        <f t="shared" ca="1" si="4"/>
        <v>1</v>
      </c>
    </row>
    <row r="114" spans="2:6" s="6" customFormat="1" x14ac:dyDescent="0.25">
      <c r="B114" s="6">
        <v>82</v>
      </c>
      <c r="C114" s="28">
        <f t="shared" ca="1" si="5"/>
        <v>0.22824925600588519</v>
      </c>
      <c r="D114" s="29">
        <f t="shared" ca="1" si="3"/>
        <v>2.7361267938858938E-13</v>
      </c>
      <c r="F114" s="9">
        <f t="shared" ca="1" si="4"/>
        <v>1</v>
      </c>
    </row>
    <row r="115" spans="2:6" s="6" customFormat="1" x14ac:dyDescent="0.25">
      <c r="B115" s="6">
        <v>83</v>
      </c>
      <c r="C115" s="28">
        <f t="shared" ca="1" si="5"/>
        <v>0.55913837655694432</v>
      </c>
      <c r="D115" s="29">
        <f t="shared" ca="1" si="3"/>
        <v>2.2009954868423458E-7</v>
      </c>
      <c r="F115" s="9">
        <f t="shared" ca="1" si="4"/>
        <v>1</v>
      </c>
    </row>
    <row r="116" spans="2:6" s="6" customFormat="1" x14ac:dyDescent="0.25">
      <c r="B116" s="6">
        <v>84</v>
      </c>
      <c r="C116" s="28">
        <f t="shared" ca="1" si="5"/>
        <v>0.83241529770945477</v>
      </c>
      <c r="D116" s="29">
        <f t="shared" ca="1" si="3"/>
        <v>9.5665435323397596E-5</v>
      </c>
      <c r="F116" s="9">
        <f t="shared" ca="1" si="4"/>
        <v>1</v>
      </c>
    </row>
    <row r="117" spans="2:6" s="6" customFormat="1" x14ac:dyDescent="0.25">
      <c r="B117" s="6">
        <v>85</v>
      </c>
      <c r="C117" s="28">
        <f t="shared" ca="1" si="5"/>
        <v>0.51344163248146435</v>
      </c>
      <c r="D117" s="29">
        <f t="shared" ca="1" si="3"/>
        <v>6.0342474266355715E-8</v>
      </c>
      <c r="F117" s="9">
        <f t="shared" ca="1" si="4"/>
        <v>1</v>
      </c>
    </row>
    <row r="118" spans="2:6" s="6" customFormat="1" x14ac:dyDescent="0.25">
      <c r="B118" s="6">
        <v>86</v>
      </c>
      <c r="C118" s="28">
        <f t="shared" ca="1" si="5"/>
        <v>0.26410748563676334</v>
      </c>
      <c r="D118" s="29">
        <f t="shared" ca="1" si="3"/>
        <v>2.5055957075393612E-12</v>
      </c>
      <c r="F118" s="9">
        <f t="shared" ca="1" si="4"/>
        <v>1</v>
      </c>
    </row>
    <row r="119" spans="2:6" s="6" customFormat="1" x14ac:dyDescent="0.25">
      <c r="B119" s="6">
        <v>87</v>
      </c>
      <c r="C119" s="28">
        <f t="shared" ca="1" si="5"/>
        <v>0.89667781405050473</v>
      </c>
      <c r="D119" s="29">
        <f t="shared" ca="1" si="3"/>
        <v>3.2053055398021069E-4</v>
      </c>
      <c r="F119" s="9">
        <f t="shared" ca="1" si="4"/>
        <v>1</v>
      </c>
    </row>
    <row r="120" spans="2:6" s="6" customFormat="1" x14ac:dyDescent="0.25">
      <c r="B120" s="6">
        <v>88</v>
      </c>
      <c r="C120" s="28">
        <f t="shared" ca="1" si="5"/>
        <v>0.94237368521106024</v>
      </c>
      <c r="D120" s="29">
        <f t="shared" ca="1" si="3"/>
        <v>8.0115534245249985E-4</v>
      </c>
      <c r="F120" s="9">
        <f t="shared" ca="1" si="4"/>
        <v>1</v>
      </c>
    </row>
    <row r="121" spans="2:6" s="6" customFormat="1" x14ac:dyDescent="0.25">
      <c r="B121" s="6">
        <v>89</v>
      </c>
      <c r="C121" s="28">
        <f t="shared" ca="1" si="5"/>
        <v>0.12847084198426051</v>
      </c>
      <c r="D121" s="29">
        <f t="shared" ca="1" si="3"/>
        <v>4.4558609871496297E-17</v>
      </c>
      <c r="F121" s="9">
        <f t="shared" ca="1" si="4"/>
        <v>1</v>
      </c>
    </row>
    <row r="122" spans="2:6" s="6" customFormat="1" x14ac:dyDescent="0.25">
      <c r="B122" s="6">
        <v>90</v>
      </c>
      <c r="C122" s="28">
        <f t="shared" ca="1" si="5"/>
        <v>0.85125974126381976</v>
      </c>
      <c r="D122" s="29">
        <f t="shared" ca="1" si="3"/>
        <v>1.3637601859534291E-4</v>
      </c>
      <c r="F122" s="9">
        <f t="shared" ca="1" si="4"/>
        <v>1</v>
      </c>
    </row>
    <row r="123" spans="2:6" s="6" customFormat="1" x14ac:dyDescent="0.25">
      <c r="B123" s="6">
        <v>91</v>
      </c>
      <c r="C123" s="28">
        <f t="shared" ca="1" si="5"/>
        <v>0.21862260412965029</v>
      </c>
      <c r="D123" s="29">
        <f t="shared" ca="1" si="3"/>
        <v>1.4226980395567414E-13</v>
      </c>
      <c r="F123" s="9">
        <f t="shared" ca="1" si="4"/>
        <v>1</v>
      </c>
    </row>
    <row r="124" spans="2:6" s="6" customFormat="1" x14ac:dyDescent="0.25">
      <c r="B124" s="6">
        <v>92</v>
      </c>
      <c r="C124" s="28">
        <f t="shared" ca="1" si="5"/>
        <v>0.94324504756772398</v>
      </c>
      <c r="D124" s="29">
        <f t="shared" ca="1" si="3"/>
        <v>8.1649747365811101E-4</v>
      </c>
      <c r="F124" s="9">
        <f t="shared" ca="1" si="4"/>
        <v>1</v>
      </c>
    </row>
    <row r="125" spans="2:6" s="6" customFormat="1" x14ac:dyDescent="0.25">
      <c r="B125" s="6">
        <v>93</v>
      </c>
      <c r="C125" s="28">
        <f t="shared" ca="1" si="5"/>
        <v>0.72677097741796837</v>
      </c>
      <c r="D125" s="29">
        <f t="shared" ca="1" si="3"/>
        <v>1.1824927290253341E-5</v>
      </c>
      <c r="F125" s="9">
        <f t="shared" ca="1" si="4"/>
        <v>1</v>
      </c>
    </row>
    <row r="126" spans="2:6" s="6" customFormat="1" x14ac:dyDescent="0.25">
      <c r="B126" s="6">
        <v>94</v>
      </c>
      <c r="C126" s="28">
        <f t="shared" ca="1" si="5"/>
        <v>0.34034968124177045</v>
      </c>
      <c r="D126" s="29">
        <f t="shared" ca="1" si="3"/>
        <v>1.1764005889461991E-10</v>
      </c>
      <c r="F126" s="9">
        <f t="shared" ca="1" si="4"/>
        <v>1</v>
      </c>
    </row>
    <row r="127" spans="2:6" s="6" customFormat="1" x14ac:dyDescent="0.25">
      <c r="B127" s="6">
        <v>95</v>
      </c>
      <c r="C127" s="28">
        <f t="shared" ca="1" si="5"/>
        <v>0.41589288511195033</v>
      </c>
      <c r="D127" s="29">
        <f t="shared" ca="1" si="3"/>
        <v>2.4648479400616855E-9</v>
      </c>
      <c r="F127" s="9">
        <f t="shared" ca="1" si="4"/>
        <v>1</v>
      </c>
    </row>
    <row r="128" spans="2:6" s="6" customFormat="1" x14ac:dyDescent="0.25">
      <c r="B128" s="6">
        <v>96</v>
      </c>
      <c r="C128" s="28">
        <f t="shared" ca="1" si="5"/>
        <v>0.3328904270981573</v>
      </c>
      <c r="D128" s="29">
        <f t="shared" ca="1" si="3"/>
        <v>8.4041341299563969E-11</v>
      </c>
      <c r="F128" s="9">
        <f t="shared" ca="1" si="4"/>
        <v>1</v>
      </c>
    </row>
    <row r="129" spans="2:6" s="6" customFormat="1" x14ac:dyDescent="0.25">
      <c r="B129" s="6">
        <v>97</v>
      </c>
      <c r="C129" s="28">
        <f t="shared" ca="1" si="5"/>
        <v>0.26761049802565651</v>
      </c>
      <c r="D129" s="29">
        <f t="shared" ca="1" si="3"/>
        <v>3.0602669598937248E-12</v>
      </c>
      <c r="F129" s="9">
        <f t="shared" ca="1" si="4"/>
        <v>1</v>
      </c>
    </row>
    <row r="130" spans="2:6" s="6" customFormat="1" x14ac:dyDescent="0.25">
      <c r="B130" s="6">
        <v>98</v>
      </c>
      <c r="C130" s="28">
        <f t="shared" ca="1" si="5"/>
        <v>0.12806105676855761</v>
      </c>
      <c r="D130" s="29">
        <f t="shared" ca="1" si="3"/>
        <v>4.2449636415800581E-17</v>
      </c>
      <c r="F130" s="9">
        <f t="shared" ca="1" si="4"/>
        <v>1</v>
      </c>
    </row>
    <row r="131" spans="2:6" s="6" customFormat="1" x14ac:dyDescent="0.25">
      <c r="B131" s="6">
        <v>99</v>
      </c>
      <c r="C131" s="28">
        <f t="shared" ca="1" si="5"/>
        <v>0.57886414565154554</v>
      </c>
      <c r="D131" s="29">
        <f t="shared" ca="1" si="3"/>
        <v>3.7253430801370698E-7</v>
      </c>
      <c r="F131" s="9">
        <f t="shared" ca="1" si="4"/>
        <v>1</v>
      </c>
    </row>
    <row r="132" spans="2:6" s="6" customFormat="1" x14ac:dyDescent="0.25">
      <c r="B132" s="6">
        <v>100</v>
      </c>
      <c r="C132" s="28">
        <f t="shared" ca="1" si="5"/>
        <v>0.24660478853557644</v>
      </c>
      <c r="D132" s="29">
        <f t="shared" ca="1" si="3"/>
        <v>8.8502932503306009E-13</v>
      </c>
      <c r="F132" s="9">
        <f t="shared" ca="1" si="4"/>
        <v>1</v>
      </c>
    </row>
  </sheetData>
  <sheetProtection sheet="1" objects="1" scenarios="1"/>
  <hyperlinks>
    <hyperlink ref="G1" r:id="rId1" xr:uid="{00000000-0004-0000-0600-000000000000}"/>
    <hyperlink ref="F15" r:id="rId2" xr:uid="{00000000-0004-0000-0600-000001000000}"/>
  </hyperlinks>
  <pageMargins left="0.7" right="0.7" top="0.75" bottom="0.75" header="0.3" footer="0.3"/>
  <pageSetup orientation="portrait" verticalDpi="0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33"/>
  <sheetViews>
    <sheetView zoomScale="90" zoomScaleNormal="90" workbookViewId="0">
      <selection activeCell="L36" sqref="L36"/>
    </sheetView>
  </sheetViews>
  <sheetFormatPr defaultRowHeight="15" x14ac:dyDescent="0.25"/>
  <cols>
    <col min="1" max="1" width="15.140625" customWidth="1"/>
    <col min="2" max="2" width="7.5703125" customWidth="1"/>
    <col min="3" max="3" width="14.7109375" customWidth="1"/>
    <col min="4" max="4" width="17.7109375" bestFit="1" customWidth="1"/>
    <col min="5" max="5" width="17.5703125" bestFit="1" customWidth="1"/>
    <col min="6" max="6" width="20.140625" customWidth="1"/>
    <col min="7" max="7" width="27" customWidth="1"/>
    <col min="8" max="8" width="25.7109375" customWidth="1"/>
    <col min="9" max="9" width="20.7109375" customWidth="1"/>
    <col min="10" max="10" width="12.140625" bestFit="1" customWidth="1"/>
  </cols>
  <sheetData>
    <row r="1" spans="1:10" s="7" customFormat="1" ht="26.25" x14ac:dyDescent="0.4">
      <c r="A1" s="7" t="s">
        <v>208</v>
      </c>
      <c r="C1" s="7" t="s">
        <v>245</v>
      </c>
      <c r="G1" s="66" t="s">
        <v>246</v>
      </c>
    </row>
    <row r="2" spans="1:10" s="7" customFormat="1" ht="11.25" customHeight="1" x14ac:dyDescent="0.4"/>
    <row r="3" spans="1:10" s="7" customFormat="1" ht="19.5" customHeight="1" x14ac:dyDescent="0.4">
      <c r="C3" s="8" t="s">
        <v>250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248</v>
      </c>
      <c r="C5" s="57">
        <v>2</v>
      </c>
      <c r="E5" s="3"/>
      <c r="F5" s="3"/>
      <c r="G5" s="43"/>
      <c r="H5" s="3" t="s">
        <v>107</v>
      </c>
      <c r="I5" s="3" t="s">
        <v>248</v>
      </c>
      <c r="J5" s="45">
        <f>C5</f>
        <v>2</v>
      </c>
    </row>
    <row r="6" spans="1:10" s="1" customFormat="1" ht="19.5" thickBot="1" x14ac:dyDescent="0.35">
      <c r="A6" s="2"/>
      <c r="B6" s="3" t="s">
        <v>8</v>
      </c>
      <c r="C6" s="57">
        <v>2</v>
      </c>
      <c r="E6" s="3"/>
      <c r="F6" s="3"/>
      <c r="G6" s="43"/>
      <c r="H6" s="3"/>
      <c r="I6" s="3" t="s">
        <v>8</v>
      </c>
      <c r="J6" s="45">
        <f>C6</f>
        <v>2</v>
      </c>
    </row>
    <row r="7" spans="1:10" s="1" customFormat="1" ht="19.5" thickBot="1" x14ac:dyDescent="0.35">
      <c r="A7" s="2"/>
      <c r="B7" s="3" t="s">
        <v>247</v>
      </c>
      <c r="C7" s="57">
        <v>-0.1</v>
      </c>
      <c r="F7" s="3"/>
      <c r="G7" s="43"/>
      <c r="H7" s="63" t="s">
        <v>249</v>
      </c>
      <c r="I7" s="3" t="s">
        <v>247</v>
      </c>
      <c r="J7" s="45">
        <f>C7</f>
        <v>-0.1</v>
      </c>
    </row>
    <row r="8" spans="1:10" s="6" customFormat="1" ht="18.75" x14ac:dyDescent="0.3">
      <c r="A8" s="4" t="s">
        <v>9</v>
      </c>
      <c r="B8" s="5"/>
    </row>
    <row r="9" spans="1:10" s="6" customFormat="1" ht="37.5" x14ac:dyDescent="0.3">
      <c r="A9" s="4"/>
      <c r="B9" s="5"/>
      <c r="C9" s="17" t="s">
        <v>10</v>
      </c>
      <c r="D9" s="17" t="s">
        <v>11</v>
      </c>
      <c r="E9" s="18" t="s">
        <v>12</v>
      </c>
      <c r="F9" s="18" t="s">
        <v>216</v>
      </c>
      <c r="G9" s="18" t="s">
        <v>14</v>
      </c>
      <c r="H9" s="18" t="s">
        <v>15</v>
      </c>
      <c r="I9" s="18" t="s">
        <v>16</v>
      </c>
      <c r="J9" s="10"/>
    </row>
    <row r="10" spans="1:10" s="6" customFormat="1" ht="18.75" x14ac:dyDescent="0.3">
      <c r="A10" s="4"/>
      <c r="B10" s="5"/>
      <c r="C10" s="105" t="s">
        <v>253</v>
      </c>
      <c r="D10" s="105" t="s">
        <v>253</v>
      </c>
      <c r="E10" s="105" t="s">
        <v>253</v>
      </c>
      <c r="F10" s="105" t="s">
        <v>253</v>
      </c>
      <c r="G10" s="106" t="s">
        <v>254</v>
      </c>
      <c r="H10" s="106" t="s">
        <v>254</v>
      </c>
      <c r="I10" s="105" t="s">
        <v>253</v>
      </c>
    </row>
    <row r="11" spans="1:10" s="6" customFormat="1" ht="10.5" customHeight="1" x14ac:dyDescent="0.25"/>
    <row r="12" spans="1:10" s="19" customFormat="1" ht="19.5" thickBot="1" x14ac:dyDescent="0.35">
      <c r="A12" s="2" t="s">
        <v>251</v>
      </c>
    </row>
    <row r="13" spans="1:10" s="1" customFormat="1" ht="19.5" thickBot="1" x14ac:dyDescent="0.35">
      <c r="C13" s="3" t="s">
        <v>161</v>
      </c>
      <c r="D13" s="57">
        <v>0</v>
      </c>
    </row>
    <row r="14" spans="1:10" s="1" customFormat="1" ht="19.5" thickBot="1" x14ac:dyDescent="0.35">
      <c r="C14" s="3" t="s">
        <v>162</v>
      </c>
      <c r="D14" s="57">
        <v>5</v>
      </c>
    </row>
    <row r="15" spans="1:10" s="1" customFormat="1" ht="18.75" x14ac:dyDescent="0.3">
      <c r="A15" s="22" t="str">
        <f>IF(D14&lt;D13,"ERROR -- The high value MUST be larger than the low value", "")</f>
        <v/>
      </c>
      <c r="D15" s="26"/>
      <c r="E15" s="23"/>
    </row>
    <row r="16" spans="1:10" s="1" customFormat="1" ht="15.75" x14ac:dyDescent="0.25">
      <c r="C16" s="104" t="str">
        <f xml:space="preserve"> "Pr(" &amp; D13 &amp; " ≤ T ≤ " &amp; D14 &amp;") ="</f>
        <v>Pr(0 ≤ T ≤ 5) =</v>
      </c>
      <c r="D16" s="24" t="s">
        <v>298</v>
      </c>
      <c r="F16" s="61" t="s">
        <v>105</v>
      </c>
    </row>
    <row r="17" spans="1:7" s="1" customFormat="1" ht="15.75" x14ac:dyDescent="0.25">
      <c r="C17" s="20" t="str">
        <f>"Pr(T ≤ "&amp;D13&amp;") ="</f>
        <v>Pr(T ≤ 0) =</v>
      </c>
      <c r="D17" s="24" t="s">
        <v>298</v>
      </c>
    </row>
    <row r="18" spans="1:7" s="1" customFormat="1" ht="15.75" x14ac:dyDescent="0.25">
      <c r="C18" s="20" t="str">
        <f>"Pr(T ≤ " &amp; D14 &amp; ") ="</f>
        <v>Pr(T ≤ 5) =</v>
      </c>
      <c r="D18" s="24" t="s">
        <v>298</v>
      </c>
    </row>
    <row r="19" spans="1:7" s="1" customFormat="1" ht="15.75" x14ac:dyDescent="0.25">
      <c r="C19" s="20" t="str">
        <f>"Pr(T &gt; " &amp; D14 &amp;") ="</f>
        <v>Pr(T &gt; 5) =</v>
      </c>
      <c r="D19" s="24" t="s">
        <v>298</v>
      </c>
    </row>
    <row r="20" spans="1:7" s="1" customFormat="1" ht="15.75" x14ac:dyDescent="0.25">
      <c r="C20" s="20"/>
      <c r="D20" s="24"/>
    </row>
    <row r="21" spans="1:7" s="1" customFormat="1" ht="15.75" x14ac:dyDescent="0.25">
      <c r="C21" s="20" t="s">
        <v>52</v>
      </c>
      <c r="D21" s="46">
        <f>IF(C7&gt;=1, 9.99999E+307, IF(C7=0,C5+C6*0.57721,C5+C6*(_xlfn.GAMMA(1-C7)-1)/C7))</f>
        <v>2.9729846026625366</v>
      </c>
    </row>
    <row r="22" spans="1:7" s="1" customFormat="1" ht="15.75" x14ac:dyDescent="0.25">
      <c r="C22" s="20" t="s">
        <v>38</v>
      </c>
      <c r="D22" s="46">
        <f>SQRT(D23)</f>
        <v>2.2891443880601732</v>
      </c>
    </row>
    <row r="23" spans="1:7" s="1" customFormat="1" ht="15.75" x14ac:dyDescent="0.25">
      <c r="C23" s="20" t="s">
        <v>34</v>
      </c>
      <c r="D23" s="46">
        <f>IF(C7&gt;=1/2, 9.99999E+307, IF(C7=0,C6^2*(pi^2/6),(C6^2/C7^2)*(_xlfn.GAMMA(1-2*C7)-(_xlfn.GAMMA(1-C7)^2))))</f>
        <v>5.2401820293873849</v>
      </c>
    </row>
    <row r="24" spans="1:7" s="1" customFormat="1" ht="15.75" x14ac:dyDescent="0.25">
      <c r="C24" s="20"/>
      <c r="D24" s="21"/>
    </row>
    <row r="25" spans="1:7" s="1" customFormat="1" ht="15.75" x14ac:dyDescent="0.25">
      <c r="C25" s="20" t="s">
        <v>35</v>
      </c>
      <c r="D25" s="46">
        <f>IF($C$7=0,$C$5+$C$6*LN(1/LN(1/0.05)),$C$5+$C$6*((LN(1/0.05))^(-$C$7)-1)/$C$7)</f>
        <v>-0.31928590707040527</v>
      </c>
    </row>
    <row r="26" spans="1:7" s="1" customFormat="1" ht="15.75" x14ac:dyDescent="0.25">
      <c r="C26" s="20" t="s">
        <v>36</v>
      </c>
      <c r="D26" s="46">
        <f>IF($C$7=0,$C$5+$C$6*LN(1/LN(1/0.5)),$C$5+$C$6*((LN(1/0.5))^(-$C$7)-1)/$C$7)</f>
        <v>2.7197552906442062</v>
      </c>
    </row>
    <row r="27" spans="1:7" s="1" customFormat="1" ht="15.75" x14ac:dyDescent="0.25">
      <c r="C27" s="20" t="s">
        <v>37</v>
      </c>
      <c r="D27" s="46">
        <f>IF($C$7=0,$C$5+$C$6*LN(1/LN(1/0.95)),$C$5+$C$6*((LN(1/0.95))^(-$C$7)-1)/$C$7)</f>
        <v>7.1394099071919763</v>
      </c>
    </row>
    <row r="28" spans="1:7" s="1" customFormat="1" ht="15.75" x14ac:dyDescent="0.25">
      <c r="C28" s="20"/>
      <c r="D28" s="27"/>
    </row>
    <row r="29" spans="1:7" s="6" customFormat="1" ht="18.75" x14ac:dyDescent="0.3">
      <c r="A29" s="4" t="s">
        <v>252</v>
      </c>
    </row>
    <row r="30" spans="1:7" s="6" customFormat="1" ht="18.75" x14ac:dyDescent="0.3">
      <c r="A30" s="4"/>
    </row>
    <row r="31" spans="1:7" s="6" customFormat="1" ht="18.75" x14ac:dyDescent="0.3">
      <c r="A31" s="4"/>
      <c r="C31" s="30" t="s">
        <v>44</v>
      </c>
      <c r="D31" s="32">
        <f ca="1">AVERAGE(D34:D133)</f>
        <v>2.9922216317592825</v>
      </c>
      <c r="F31" s="30" t="s">
        <v>45</v>
      </c>
      <c r="G31" s="32">
        <f ca="1">STDEV(D34:D133)</f>
        <v>2.4195016533222224</v>
      </c>
    </row>
    <row r="32" spans="1:7" s="6" customFormat="1" ht="18.75" x14ac:dyDescent="0.3">
      <c r="A32" s="4"/>
    </row>
    <row r="33" spans="2:7" s="6" customFormat="1" ht="15.75" x14ac:dyDescent="0.25">
      <c r="B33" s="31" t="s">
        <v>41</v>
      </c>
      <c r="C33" s="31" t="s">
        <v>42</v>
      </c>
      <c r="D33" s="31" t="s">
        <v>220</v>
      </c>
      <c r="E33" s="33"/>
      <c r="F33" s="34" t="s">
        <v>218</v>
      </c>
    </row>
    <row r="34" spans="2:7" s="6" customFormat="1" x14ac:dyDescent="0.25">
      <c r="B34" s="6">
        <v>1</v>
      </c>
      <c r="C34" s="28">
        <f ca="1">RAND()</f>
        <v>0.96593694695012311</v>
      </c>
      <c r="D34" s="29">
        <f ca="1">IF($C$7=0,$C$5+$C$6*LN(1/LN(1/(C34))),$C$5+$C$6*((LN(1/(C34)))^(-$C$7)-1)/$C$7)</f>
        <v>7.7107728387143775</v>
      </c>
      <c r="F34" s="9">
        <f ca="1">IF(D34&gt;$D$14,0,1)</f>
        <v>0</v>
      </c>
    </row>
    <row r="35" spans="2:7" s="6" customFormat="1" x14ac:dyDescent="0.25">
      <c r="B35" s="6">
        <v>2</v>
      </c>
      <c r="C35" s="28">
        <f ca="1">RAND()</f>
        <v>0.34759316974939636</v>
      </c>
      <c r="D35" s="29">
        <f t="shared" ref="D35:D98" ca="1" si="0">IF($C$7=0,$C$5+$C$6*LN(1/LN(1/(C35))),$C$5+$C$6*((LN(1/(C35)))^(-$C$7)-1)/$C$7)</f>
        <v>1.8893507014554594</v>
      </c>
      <c r="F35" s="9">
        <f t="shared" ref="F35:F98" ca="1" si="1">IF(D35&gt;$D$14,0,1)</f>
        <v>1</v>
      </c>
      <c r="G35" s="36" t="s">
        <v>219</v>
      </c>
    </row>
    <row r="36" spans="2:7" s="6" customFormat="1" x14ac:dyDescent="0.25">
      <c r="B36" s="6">
        <v>3</v>
      </c>
      <c r="C36" s="28">
        <f t="shared" ref="C36:C99" ca="1" si="2">RAND()</f>
        <v>0.11223155685379826</v>
      </c>
      <c r="D36" s="29">
        <f t="shared" ca="1" si="0"/>
        <v>0.37188510202200753</v>
      </c>
      <c r="F36" s="9">
        <f t="shared" ca="1" si="1"/>
        <v>1</v>
      </c>
      <c r="G36" s="47">
        <f ca="1">SUM(F34:F133)/100</f>
        <v>0.81</v>
      </c>
    </row>
    <row r="37" spans="2:7" s="6" customFormat="1" x14ac:dyDescent="0.25">
      <c r="B37" s="6">
        <v>4</v>
      </c>
      <c r="C37" s="28">
        <f t="shared" ca="1" si="2"/>
        <v>0.25777452118485311</v>
      </c>
      <c r="D37" s="29">
        <f t="shared" ca="1" si="0"/>
        <v>1.382054133804858</v>
      </c>
      <c r="F37" s="9">
        <f t="shared" ca="1" si="1"/>
        <v>1</v>
      </c>
    </row>
    <row r="38" spans="2:7" s="6" customFormat="1" x14ac:dyDescent="0.25">
      <c r="B38" s="6">
        <v>5</v>
      </c>
      <c r="C38" s="28">
        <f t="shared" ca="1" si="2"/>
        <v>0.37194435154383132</v>
      </c>
      <c r="D38" s="29">
        <f t="shared" ca="1" si="0"/>
        <v>2.0220873871669824</v>
      </c>
      <c r="F38" s="9">
        <f t="shared" ca="1" si="1"/>
        <v>1</v>
      </c>
      <c r="G38" s="36" t="s">
        <v>49</v>
      </c>
    </row>
    <row r="39" spans="2:7" s="6" customFormat="1" x14ac:dyDescent="0.25">
      <c r="B39" s="6">
        <v>6</v>
      </c>
      <c r="C39" s="28">
        <f t="shared" ca="1" si="2"/>
        <v>0.46666702516502823</v>
      </c>
      <c r="D39" s="29">
        <f t="shared" ca="1" si="0"/>
        <v>2.5359401910932626</v>
      </c>
      <c r="F39" s="9">
        <f t="shared" ca="1" si="1"/>
        <v>1</v>
      </c>
      <c r="G39" s="47">
        <f ca="1">PERCENTILE($D$34:$D$133, 0.05)</f>
        <v>-0.20382930203023147</v>
      </c>
    </row>
    <row r="40" spans="2:7" s="6" customFormat="1" x14ac:dyDescent="0.25">
      <c r="B40" s="6">
        <v>7</v>
      </c>
      <c r="C40" s="28">
        <f t="shared" ca="1" si="2"/>
        <v>0.68610464918174674</v>
      </c>
      <c r="D40" s="29">
        <f t="shared" ca="1" si="0"/>
        <v>3.8602017372407276</v>
      </c>
      <c r="F40" s="9">
        <f t="shared" ca="1" si="1"/>
        <v>1</v>
      </c>
    </row>
    <row r="41" spans="2:7" s="6" customFormat="1" x14ac:dyDescent="0.25">
      <c r="B41" s="6">
        <v>8</v>
      </c>
      <c r="C41" s="28">
        <f t="shared" ca="1" si="2"/>
        <v>0.60366192795824458</v>
      </c>
      <c r="D41" s="29">
        <f t="shared" ca="1" si="0"/>
        <v>3.3217213292365049</v>
      </c>
      <c r="F41" s="9">
        <f t="shared" ca="1" si="1"/>
        <v>1</v>
      </c>
      <c r="G41" s="36" t="s">
        <v>50</v>
      </c>
    </row>
    <row r="42" spans="2:7" s="6" customFormat="1" x14ac:dyDescent="0.25">
      <c r="B42" s="6">
        <v>9</v>
      </c>
      <c r="C42" s="28">
        <f t="shared" ca="1" si="2"/>
        <v>0.85534273708691899</v>
      </c>
      <c r="D42" s="29">
        <f t="shared" ca="1" si="0"/>
        <v>5.3883474059672825</v>
      </c>
      <c r="F42" s="9">
        <f t="shared" ca="1" si="1"/>
        <v>0</v>
      </c>
      <c r="G42" s="47">
        <f ca="1">PERCENTILE($D$34:$D$133, 0.5)</f>
        <v>2.8966828037104002</v>
      </c>
    </row>
    <row r="43" spans="2:7" s="6" customFormat="1" x14ac:dyDescent="0.25">
      <c r="B43" s="6">
        <v>10</v>
      </c>
      <c r="C43" s="28">
        <f t="shared" ca="1" si="2"/>
        <v>0.99275535324407393</v>
      </c>
      <c r="D43" s="29">
        <f t="shared" ca="1" si="0"/>
        <v>9.7766707669235924</v>
      </c>
      <c r="F43" s="9">
        <f t="shared" ca="1" si="1"/>
        <v>0</v>
      </c>
    </row>
    <row r="44" spans="2:7" s="6" customFormat="1" x14ac:dyDescent="0.25">
      <c r="B44" s="6">
        <v>11</v>
      </c>
      <c r="C44" s="28">
        <f t="shared" ca="1" si="2"/>
        <v>0.76707961445944572</v>
      </c>
      <c r="D44" s="29">
        <f t="shared" ca="1" si="0"/>
        <v>4.4861525033543668</v>
      </c>
      <c r="F44" s="9">
        <f t="shared" ca="1" si="1"/>
        <v>1</v>
      </c>
      <c r="G44" s="36" t="s">
        <v>51</v>
      </c>
    </row>
    <row r="45" spans="2:7" s="6" customFormat="1" x14ac:dyDescent="0.25">
      <c r="B45" s="6">
        <v>12</v>
      </c>
      <c r="C45" s="28">
        <f t="shared" ca="1" si="2"/>
        <v>0.59639650485719886</v>
      </c>
      <c r="D45" s="29">
        <f t="shared" ca="1" si="0"/>
        <v>3.2773891548085747</v>
      </c>
      <c r="F45" s="9">
        <f t="shared" ca="1" si="1"/>
        <v>1</v>
      </c>
      <c r="G45" s="47">
        <f ca="1">PERCENTILE($D$34:$D$133, 0.95)</f>
        <v>7.6874129000498499</v>
      </c>
    </row>
    <row r="46" spans="2:7" s="6" customFormat="1" x14ac:dyDescent="0.25">
      <c r="B46" s="6">
        <v>13</v>
      </c>
      <c r="C46" s="28">
        <f t="shared" ca="1" si="2"/>
        <v>0.90255524278614008</v>
      </c>
      <c r="D46" s="29">
        <f t="shared" ca="1" si="0"/>
        <v>6.073764462293008</v>
      </c>
      <c r="F46" s="9">
        <f t="shared" ca="1" si="1"/>
        <v>0</v>
      </c>
    </row>
    <row r="47" spans="2:7" s="6" customFormat="1" x14ac:dyDescent="0.25">
      <c r="B47" s="6">
        <v>14</v>
      </c>
      <c r="C47" s="28">
        <f t="shared" ca="1" si="2"/>
        <v>0.72421438046074083</v>
      </c>
      <c r="D47" s="29">
        <f t="shared" ca="1" si="0"/>
        <v>4.1390085817633882</v>
      </c>
      <c r="F47" s="9">
        <f t="shared" ca="1" si="1"/>
        <v>1</v>
      </c>
    </row>
    <row r="48" spans="2:7" s="6" customFormat="1" x14ac:dyDescent="0.25">
      <c r="B48" s="6">
        <v>15</v>
      </c>
      <c r="C48" s="28">
        <f t="shared" ca="1" si="2"/>
        <v>0.89453623677329897</v>
      </c>
      <c r="D48" s="29">
        <f t="shared" ca="1" si="0"/>
        <v>5.9402806769937353</v>
      </c>
      <c r="F48" s="9">
        <f t="shared" ca="1" si="1"/>
        <v>0</v>
      </c>
    </row>
    <row r="49" spans="2:6" s="6" customFormat="1" x14ac:dyDescent="0.25">
      <c r="B49" s="6">
        <v>16</v>
      </c>
      <c r="C49" s="28">
        <f t="shared" ca="1" si="2"/>
        <v>0.27759132974356049</v>
      </c>
      <c r="D49" s="29">
        <f t="shared" ca="1" si="0"/>
        <v>1.4975659024024539</v>
      </c>
      <c r="F49" s="9">
        <f t="shared" ca="1" si="1"/>
        <v>1</v>
      </c>
    </row>
    <row r="50" spans="2:6" s="6" customFormat="1" x14ac:dyDescent="0.25">
      <c r="B50" s="6">
        <v>17</v>
      </c>
      <c r="C50" s="28">
        <f t="shared" ca="1" si="2"/>
        <v>0.29624094550077995</v>
      </c>
      <c r="D50" s="29">
        <f t="shared" ca="1" si="0"/>
        <v>1.6040405574980836</v>
      </c>
      <c r="F50" s="9">
        <f t="shared" ca="1" si="1"/>
        <v>1</v>
      </c>
    </row>
    <row r="51" spans="2:6" s="6" customFormat="1" x14ac:dyDescent="0.25">
      <c r="B51" s="6">
        <v>18</v>
      </c>
      <c r="C51" s="28">
        <f t="shared" ca="1" si="2"/>
        <v>0.57932494580633298</v>
      </c>
      <c r="D51" s="29">
        <f t="shared" ca="1" si="0"/>
        <v>3.1747545259088099</v>
      </c>
      <c r="F51" s="9">
        <f t="shared" ca="1" si="1"/>
        <v>1</v>
      </c>
    </row>
    <row r="52" spans="2:6" s="6" customFormat="1" x14ac:dyDescent="0.25">
      <c r="B52" s="6">
        <v>19</v>
      </c>
      <c r="C52" s="28">
        <f t="shared" ca="1" si="2"/>
        <v>0.96171409782450934</v>
      </c>
      <c r="D52" s="29">
        <f t="shared" ca="1" si="0"/>
        <v>7.5396492477150234</v>
      </c>
      <c r="F52" s="9">
        <f t="shared" ca="1" si="1"/>
        <v>0</v>
      </c>
    </row>
    <row r="53" spans="2:6" s="6" customFormat="1" x14ac:dyDescent="0.25">
      <c r="B53" s="6">
        <v>20</v>
      </c>
      <c r="C53" s="28">
        <f t="shared" ca="1" si="2"/>
        <v>0.33389098813615781</v>
      </c>
      <c r="D53" s="29">
        <f t="shared" ca="1" si="0"/>
        <v>1.8140909764020678</v>
      </c>
      <c r="F53" s="9">
        <f t="shared" ca="1" si="1"/>
        <v>1</v>
      </c>
    </row>
    <row r="54" spans="2:6" s="6" customFormat="1" x14ac:dyDescent="0.25">
      <c r="B54" s="6">
        <v>21</v>
      </c>
      <c r="C54" s="28">
        <f t="shared" ca="1" si="2"/>
        <v>0.9832823858424905</v>
      </c>
      <c r="D54" s="29">
        <f t="shared" ca="1" si="0"/>
        <v>8.7042451737373518</v>
      </c>
      <c r="F54" s="9">
        <f t="shared" ca="1" si="1"/>
        <v>0</v>
      </c>
    </row>
    <row r="55" spans="2:6" s="6" customFormat="1" x14ac:dyDescent="0.25">
      <c r="B55" s="6">
        <v>22</v>
      </c>
      <c r="C55" s="28">
        <f t="shared" ca="1" si="2"/>
        <v>0.5417464052950357</v>
      </c>
      <c r="D55" s="29">
        <f t="shared" ca="1" si="0"/>
        <v>2.9553491091088318</v>
      </c>
      <c r="F55" s="9">
        <f t="shared" ca="1" si="1"/>
        <v>1</v>
      </c>
    </row>
    <row r="56" spans="2:6" s="6" customFormat="1" x14ac:dyDescent="0.25">
      <c r="B56" s="6">
        <v>23</v>
      </c>
      <c r="C56" s="28">
        <f t="shared" ca="1" si="2"/>
        <v>8.0313325638628585E-2</v>
      </c>
      <c r="D56" s="29">
        <f t="shared" ca="1" si="0"/>
        <v>6.1779392289700752E-2</v>
      </c>
      <c r="F56" s="9">
        <f t="shared" ca="1" si="1"/>
        <v>1</v>
      </c>
    </row>
    <row r="57" spans="2:6" s="6" customFormat="1" x14ac:dyDescent="0.25">
      <c r="B57" s="6">
        <v>24</v>
      </c>
      <c r="C57" s="28">
        <f t="shared" ca="1" si="2"/>
        <v>0.21771761990945271</v>
      </c>
      <c r="D57" s="29">
        <f t="shared" ca="1" si="0"/>
        <v>1.1385570483260548</v>
      </c>
      <c r="F57" s="9">
        <f t="shared" ca="1" si="1"/>
        <v>1</v>
      </c>
    </row>
    <row r="58" spans="2:6" s="6" customFormat="1" x14ac:dyDescent="0.25">
      <c r="B58" s="6">
        <v>25</v>
      </c>
      <c r="C58" s="28">
        <f t="shared" ca="1" si="2"/>
        <v>0.69243446265347275</v>
      </c>
      <c r="D58" s="29">
        <f t="shared" ca="1" si="0"/>
        <v>3.9049138224923934</v>
      </c>
      <c r="F58" s="9">
        <f t="shared" ca="1" si="1"/>
        <v>1</v>
      </c>
    </row>
    <row r="59" spans="2:6" s="6" customFormat="1" x14ac:dyDescent="0.25">
      <c r="B59" s="6">
        <v>26</v>
      </c>
      <c r="C59" s="28">
        <f t="shared" ca="1" si="2"/>
        <v>0.62183384845531131</v>
      </c>
      <c r="D59" s="29">
        <f t="shared" ca="1" si="0"/>
        <v>3.4344899557582647</v>
      </c>
      <c r="F59" s="9">
        <f t="shared" ca="1" si="1"/>
        <v>1</v>
      </c>
    </row>
    <row r="60" spans="2:6" s="6" customFormat="1" x14ac:dyDescent="0.25">
      <c r="B60" s="6">
        <v>27</v>
      </c>
      <c r="C60" s="28">
        <f t="shared" ca="1" si="2"/>
        <v>0.69847946839416619</v>
      </c>
      <c r="D60" s="29">
        <f t="shared" ca="1" si="0"/>
        <v>3.9481702253833788</v>
      </c>
      <c r="F60" s="9">
        <f t="shared" ca="1" si="1"/>
        <v>1</v>
      </c>
    </row>
    <row r="61" spans="2:6" s="6" customFormat="1" x14ac:dyDescent="0.25">
      <c r="B61" s="6">
        <v>28</v>
      </c>
      <c r="C61" s="28">
        <f t="shared" ca="1" si="2"/>
        <v>0.60096325283655361</v>
      </c>
      <c r="D61" s="29">
        <f t="shared" ca="1" si="0"/>
        <v>3.3052066891066283</v>
      </c>
      <c r="F61" s="9">
        <f t="shared" ca="1" si="1"/>
        <v>1</v>
      </c>
    </row>
    <row r="62" spans="2:6" s="6" customFormat="1" x14ac:dyDescent="0.25">
      <c r="B62" s="6">
        <v>29</v>
      </c>
      <c r="C62" s="28">
        <f t="shared" ca="1" si="2"/>
        <v>0.78144408745607186</v>
      </c>
      <c r="D62" s="29">
        <f t="shared" ca="1" si="0"/>
        <v>4.6127315564596332</v>
      </c>
      <c r="F62" s="9">
        <f t="shared" ca="1" si="1"/>
        <v>1</v>
      </c>
    </row>
    <row r="63" spans="2:6" s="6" customFormat="1" x14ac:dyDescent="0.25">
      <c r="B63" s="6">
        <v>30</v>
      </c>
      <c r="C63" s="28">
        <f t="shared" ca="1" si="2"/>
        <v>0.37338772505028617</v>
      </c>
      <c r="D63" s="29">
        <f t="shared" ca="1" si="0"/>
        <v>2.0299248410506858</v>
      </c>
      <c r="F63" s="9">
        <f t="shared" ca="1" si="1"/>
        <v>1</v>
      </c>
    </row>
    <row r="64" spans="2:6" s="6" customFormat="1" x14ac:dyDescent="0.25">
      <c r="B64" s="6">
        <v>31</v>
      </c>
      <c r="C64" s="28">
        <f t="shared" ca="1" si="2"/>
        <v>0.82266043494733299</v>
      </c>
      <c r="D64" s="29">
        <f t="shared" ca="1" si="0"/>
        <v>5.0144117201139782</v>
      </c>
      <c r="F64" s="9">
        <f t="shared" ca="1" si="1"/>
        <v>0</v>
      </c>
    </row>
    <row r="65" spans="2:6" s="6" customFormat="1" x14ac:dyDescent="0.25">
      <c r="B65" s="6">
        <v>32</v>
      </c>
      <c r="C65" s="28">
        <f t="shared" ca="1" si="2"/>
        <v>0.64633818052462755</v>
      </c>
      <c r="D65" s="29">
        <f t="shared" ca="1" si="0"/>
        <v>3.5913603958753297</v>
      </c>
      <c r="F65" s="9">
        <f t="shared" ca="1" si="1"/>
        <v>1</v>
      </c>
    </row>
    <row r="66" spans="2:6" s="6" customFormat="1" x14ac:dyDescent="0.25">
      <c r="B66" s="6">
        <v>33</v>
      </c>
      <c r="C66" s="28">
        <f t="shared" ca="1" si="2"/>
        <v>0.52093097493170981</v>
      </c>
      <c r="D66" s="29">
        <f t="shared" ca="1" si="0"/>
        <v>2.8369810740101302</v>
      </c>
      <c r="F66" s="9">
        <f t="shared" ca="1" si="1"/>
        <v>1</v>
      </c>
    </row>
    <row r="67" spans="2:6" s="6" customFormat="1" x14ac:dyDescent="0.25">
      <c r="B67" s="6">
        <v>34</v>
      </c>
      <c r="C67" s="28">
        <f t="shared" ca="1" si="2"/>
        <v>0.9116664972115337</v>
      </c>
      <c r="D67" s="29">
        <f t="shared" ca="1" si="0"/>
        <v>6.237131027425149</v>
      </c>
      <c r="F67" s="9">
        <f t="shared" ca="1" si="1"/>
        <v>0</v>
      </c>
    </row>
    <row r="68" spans="2:6" s="6" customFormat="1" x14ac:dyDescent="0.25">
      <c r="B68" s="6">
        <v>35</v>
      </c>
      <c r="C68" s="28">
        <f t="shared" ca="1" si="2"/>
        <v>0.26796921022101394</v>
      </c>
      <c r="D68" s="29">
        <f t="shared" ca="1" si="0"/>
        <v>1.4418173080336132</v>
      </c>
      <c r="F68" s="9">
        <f t="shared" ca="1" si="1"/>
        <v>1</v>
      </c>
    </row>
    <row r="69" spans="2:6" s="6" customFormat="1" x14ac:dyDescent="0.25">
      <c r="B69" s="6">
        <v>36</v>
      </c>
      <c r="C69" s="28">
        <f t="shared" ca="1" si="2"/>
        <v>0.68271994870864816</v>
      </c>
      <c r="D69" s="29">
        <f t="shared" ca="1" si="0"/>
        <v>3.8365284085449174</v>
      </c>
      <c r="F69" s="9">
        <f t="shared" ca="1" si="1"/>
        <v>1</v>
      </c>
    </row>
    <row r="70" spans="2:6" s="6" customFormat="1" x14ac:dyDescent="0.25">
      <c r="B70" s="6">
        <v>37</v>
      </c>
      <c r="C70" s="28">
        <f t="shared" ca="1" si="2"/>
        <v>0.72560931136066764</v>
      </c>
      <c r="D70" s="29">
        <f t="shared" ca="1" si="0"/>
        <v>4.1496889412638476</v>
      </c>
      <c r="F70" s="9">
        <f t="shared" ca="1" si="1"/>
        <v>1</v>
      </c>
    </row>
    <row r="71" spans="2:6" s="6" customFormat="1" x14ac:dyDescent="0.25">
      <c r="B71" s="6">
        <v>38</v>
      </c>
      <c r="C71" s="28">
        <f t="shared" ca="1" si="2"/>
        <v>0.81383581514648473</v>
      </c>
      <c r="D71" s="29">
        <f t="shared" ca="1" si="0"/>
        <v>4.9228258148072594</v>
      </c>
      <c r="F71" s="9">
        <f t="shared" ca="1" si="1"/>
        <v>1</v>
      </c>
    </row>
    <row r="72" spans="2:6" s="6" customFormat="1" x14ac:dyDescent="0.25">
      <c r="B72" s="6">
        <v>39</v>
      </c>
      <c r="C72" s="28">
        <f t="shared" ca="1" si="2"/>
        <v>0.23997057068338057</v>
      </c>
      <c r="D72" s="29">
        <f t="shared" ca="1" si="0"/>
        <v>1.2757097698986124</v>
      </c>
      <c r="F72" s="9">
        <f t="shared" ca="1" si="1"/>
        <v>1</v>
      </c>
    </row>
    <row r="73" spans="2:6" s="6" customFormat="1" x14ac:dyDescent="0.25">
      <c r="B73" s="6">
        <v>40</v>
      </c>
      <c r="C73" s="28">
        <f t="shared" ca="1" si="2"/>
        <v>0.67754207500828256</v>
      </c>
      <c r="D73" s="29">
        <f t="shared" ca="1" si="0"/>
        <v>3.8006193239387214</v>
      </c>
      <c r="F73" s="9">
        <f t="shared" ca="1" si="1"/>
        <v>1</v>
      </c>
    </row>
    <row r="74" spans="2:6" s="6" customFormat="1" x14ac:dyDescent="0.25">
      <c r="B74" s="6">
        <v>41</v>
      </c>
      <c r="C74" s="28">
        <f t="shared" ca="1" si="2"/>
        <v>0.29221717721285478</v>
      </c>
      <c r="D74" s="29">
        <f t="shared" ca="1" si="0"/>
        <v>1.5812282095763424</v>
      </c>
      <c r="F74" s="9">
        <f t="shared" ca="1" si="1"/>
        <v>1</v>
      </c>
    </row>
    <row r="75" spans="2:6" s="6" customFormat="1" x14ac:dyDescent="0.25">
      <c r="B75" s="6">
        <v>42</v>
      </c>
      <c r="C75" s="28">
        <f t="shared" ca="1" si="2"/>
        <v>0.31048024698696208</v>
      </c>
      <c r="D75" s="29">
        <f t="shared" ca="1" si="0"/>
        <v>1.6841484334022132</v>
      </c>
      <c r="F75" s="9">
        <f t="shared" ca="1" si="1"/>
        <v>1</v>
      </c>
    </row>
    <row r="76" spans="2:6" s="6" customFormat="1" x14ac:dyDescent="0.25">
      <c r="B76" s="6">
        <v>43</v>
      </c>
      <c r="C76" s="28">
        <f t="shared" ca="1" si="2"/>
        <v>0.13242598722230092</v>
      </c>
      <c r="D76" s="29">
        <f t="shared" ca="1" si="0"/>
        <v>0.54135274221248686</v>
      </c>
      <c r="F76" s="9">
        <f t="shared" ca="1" si="1"/>
        <v>1</v>
      </c>
    </row>
    <row r="77" spans="2:6" s="6" customFormat="1" x14ac:dyDescent="0.25">
      <c r="B77" s="6">
        <v>44</v>
      </c>
      <c r="C77" s="28">
        <f t="shared" ca="1" si="2"/>
        <v>0.53850651814343597</v>
      </c>
      <c r="D77" s="29">
        <f t="shared" ca="1" si="0"/>
        <v>2.9367935673733885</v>
      </c>
      <c r="F77" s="9">
        <f t="shared" ca="1" si="1"/>
        <v>1</v>
      </c>
    </row>
    <row r="78" spans="2:6" s="6" customFormat="1" x14ac:dyDescent="0.25">
      <c r="B78" s="6">
        <v>45</v>
      </c>
      <c r="C78" s="28">
        <f t="shared" ca="1" si="2"/>
        <v>0.96535656947137938</v>
      </c>
      <c r="D78" s="29">
        <f t="shared" ca="1" si="0"/>
        <v>7.6861834295938225</v>
      </c>
      <c r="F78" s="9">
        <f t="shared" ca="1" si="1"/>
        <v>0</v>
      </c>
    </row>
    <row r="79" spans="2:6" s="6" customFormat="1" x14ac:dyDescent="0.25">
      <c r="B79" s="6">
        <v>46</v>
      </c>
      <c r="C79" s="28">
        <f t="shared" ca="1" si="2"/>
        <v>0.96947723556111765</v>
      </c>
      <c r="D79" s="29">
        <f t="shared" ca="1" si="0"/>
        <v>7.8692971909086555</v>
      </c>
      <c r="F79" s="9">
        <f t="shared" ca="1" si="1"/>
        <v>0</v>
      </c>
    </row>
    <row r="80" spans="2:6" s="6" customFormat="1" x14ac:dyDescent="0.25">
      <c r="B80" s="6">
        <v>47</v>
      </c>
      <c r="C80" s="28">
        <f t="shared" ca="1" si="2"/>
        <v>0.73965711036483572</v>
      </c>
      <c r="D80" s="29">
        <f t="shared" ca="1" si="0"/>
        <v>4.2593878007107726</v>
      </c>
      <c r="F80" s="9">
        <f t="shared" ca="1" si="1"/>
        <v>1</v>
      </c>
    </row>
    <row r="81" spans="2:6" s="6" customFormat="1" x14ac:dyDescent="0.25">
      <c r="B81" s="6">
        <v>48</v>
      </c>
      <c r="C81" s="28">
        <f t="shared" ca="1" si="2"/>
        <v>6.4161667758656171E-2</v>
      </c>
      <c r="D81" s="29">
        <f t="shared" ca="1" si="0"/>
        <v>-0.12613578743608755</v>
      </c>
      <c r="F81" s="9">
        <f t="shared" ca="1" si="1"/>
        <v>1</v>
      </c>
    </row>
    <row r="82" spans="2:6" s="6" customFormat="1" x14ac:dyDescent="0.25">
      <c r="B82" s="6">
        <v>49</v>
      </c>
      <c r="C82" s="28">
        <f t="shared" ca="1" si="2"/>
        <v>2.2693696426224763E-3</v>
      </c>
      <c r="D82" s="29">
        <f t="shared" ca="1" si="0"/>
        <v>-1.9595836001896867</v>
      </c>
      <c r="F82" s="9">
        <f t="shared" ca="1" si="1"/>
        <v>1</v>
      </c>
    </row>
    <row r="83" spans="2:6" s="6" customFormat="1" x14ac:dyDescent="0.25">
      <c r="B83" s="6">
        <v>50</v>
      </c>
      <c r="C83" s="28">
        <f t="shared" ca="1" si="2"/>
        <v>0.91426242776313549</v>
      </c>
      <c r="D83" s="29">
        <f t="shared" ca="1" si="0"/>
        <v>6.2862792299039709</v>
      </c>
      <c r="F83" s="9">
        <f t="shared" ca="1" si="1"/>
        <v>0</v>
      </c>
    </row>
    <row r="84" spans="2:6" s="6" customFormat="1" x14ac:dyDescent="0.25">
      <c r="B84" s="6">
        <v>51</v>
      </c>
      <c r="C84" s="28">
        <f t="shared" ca="1" si="2"/>
        <v>0.75513182741957052</v>
      </c>
      <c r="D84" s="29">
        <f t="shared" ca="1" si="0"/>
        <v>4.385130125345329</v>
      </c>
      <c r="F84" s="9">
        <f t="shared" ca="1" si="1"/>
        <v>1</v>
      </c>
    </row>
    <row r="85" spans="2:6" s="6" customFormat="1" x14ac:dyDescent="0.25">
      <c r="B85" s="6">
        <v>52</v>
      </c>
      <c r="C85" s="28">
        <f t="shared" ca="1" si="2"/>
        <v>0.39049227808138909</v>
      </c>
      <c r="D85" s="29">
        <f t="shared" ca="1" si="0"/>
        <v>2.122634939159727</v>
      </c>
      <c r="F85" s="9">
        <f t="shared" ca="1" si="1"/>
        <v>1</v>
      </c>
    </row>
    <row r="86" spans="2:6" s="6" customFormat="1" x14ac:dyDescent="0.25">
      <c r="B86" s="6">
        <v>53</v>
      </c>
      <c r="C86" s="28">
        <f t="shared" ca="1" si="2"/>
        <v>0.25625965001148865</v>
      </c>
      <c r="D86" s="29">
        <f t="shared" ca="1" si="0"/>
        <v>1.3731075304098832</v>
      </c>
      <c r="F86" s="9">
        <f t="shared" ca="1" si="1"/>
        <v>1</v>
      </c>
    </row>
    <row r="87" spans="2:6" s="6" customFormat="1" x14ac:dyDescent="0.25">
      <c r="B87" s="6">
        <v>54</v>
      </c>
      <c r="C87" s="28">
        <f t="shared" ca="1" si="2"/>
        <v>0.15811436660359535</v>
      </c>
      <c r="D87" s="29">
        <f t="shared" ca="1" si="0"/>
        <v>0.73739993741007304</v>
      </c>
      <c r="F87" s="9">
        <f t="shared" ca="1" si="1"/>
        <v>1</v>
      </c>
    </row>
    <row r="88" spans="2:6" s="6" customFormat="1" x14ac:dyDescent="0.25">
      <c r="B88" s="6">
        <v>55</v>
      </c>
      <c r="C88" s="28">
        <f t="shared" ca="1" si="2"/>
        <v>0.75284082054454982</v>
      </c>
      <c r="D88" s="29">
        <f t="shared" ca="1" si="0"/>
        <v>4.3661655445854501</v>
      </c>
      <c r="F88" s="9">
        <f t="shared" ca="1" si="1"/>
        <v>1</v>
      </c>
    </row>
    <row r="89" spans="2:6" s="6" customFormat="1" x14ac:dyDescent="0.25">
      <c r="B89" s="6">
        <v>56</v>
      </c>
      <c r="C89" s="28">
        <f t="shared" ca="1" si="2"/>
        <v>0.52439959070671904</v>
      </c>
      <c r="D89" s="29">
        <f t="shared" ca="1" si="0"/>
        <v>2.8565720400474119</v>
      </c>
      <c r="F89" s="9">
        <f t="shared" ca="1" si="1"/>
        <v>1</v>
      </c>
    </row>
    <row r="90" spans="2:6" s="6" customFormat="1" x14ac:dyDescent="0.25">
      <c r="B90" s="6">
        <v>57</v>
      </c>
      <c r="C90" s="28">
        <f t="shared" ca="1" si="2"/>
        <v>0.12694498585945757</v>
      </c>
      <c r="D90" s="29">
        <f t="shared" ca="1" si="0"/>
        <v>0.49690389890179976</v>
      </c>
      <c r="F90" s="9">
        <f t="shared" ca="1" si="1"/>
        <v>1</v>
      </c>
    </row>
    <row r="91" spans="2:6" s="6" customFormat="1" x14ac:dyDescent="0.25">
      <c r="B91" s="6">
        <v>58</v>
      </c>
      <c r="C91" s="28">
        <f t="shared" ca="1" si="2"/>
        <v>5.9110552393184967E-2</v>
      </c>
      <c r="D91" s="29">
        <f t="shared" ca="1" si="0"/>
        <v>-0.19132564934902074</v>
      </c>
      <c r="F91" s="9">
        <f t="shared" ca="1" si="1"/>
        <v>1</v>
      </c>
    </row>
    <row r="92" spans="2:6" s="6" customFormat="1" x14ac:dyDescent="0.25">
      <c r="B92" s="6">
        <v>59</v>
      </c>
      <c r="C92" s="28">
        <f t="shared" ca="1" si="2"/>
        <v>0.47007545840504139</v>
      </c>
      <c r="D92" s="29">
        <f t="shared" ca="1" si="0"/>
        <v>2.554605662455756</v>
      </c>
      <c r="F92" s="9">
        <f t="shared" ca="1" si="1"/>
        <v>1</v>
      </c>
    </row>
    <row r="93" spans="2:6" s="6" customFormat="1" x14ac:dyDescent="0.25">
      <c r="B93" s="6">
        <v>60</v>
      </c>
      <c r="C93" s="28">
        <f t="shared" ca="1" si="2"/>
        <v>1.6366193086808423E-2</v>
      </c>
      <c r="D93" s="29">
        <f t="shared" ca="1" si="0"/>
        <v>-1.0377988734378558</v>
      </c>
      <c r="F93" s="9">
        <f t="shared" ca="1" si="1"/>
        <v>1</v>
      </c>
    </row>
    <row r="94" spans="2:6" s="6" customFormat="1" x14ac:dyDescent="0.25">
      <c r="B94" s="6">
        <v>61</v>
      </c>
      <c r="C94" s="28">
        <f t="shared" ca="1" si="2"/>
        <v>0.84281532184394425</v>
      </c>
      <c r="D94" s="29">
        <f t="shared" ca="1" si="0"/>
        <v>5.2377817695806232</v>
      </c>
      <c r="F94" s="9">
        <f t="shared" ca="1" si="1"/>
        <v>0</v>
      </c>
    </row>
    <row r="95" spans="2:6" s="6" customFormat="1" x14ac:dyDescent="0.25">
      <c r="B95" s="6">
        <v>62</v>
      </c>
      <c r="C95" s="28">
        <f t="shared" ca="1" si="2"/>
        <v>0.34101272756941381</v>
      </c>
      <c r="D95" s="29">
        <f t="shared" ca="1" si="0"/>
        <v>1.8532692731332183</v>
      </c>
      <c r="F95" s="9">
        <f t="shared" ca="1" si="1"/>
        <v>1</v>
      </c>
    </row>
    <row r="96" spans="2:6" s="6" customFormat="1" x14ac:dyDescent="0.25">
      <c r="B96" s="6">
        <v>63</v>
      </c>
      <c r="C96" s="28">
        <f t="shared" ca="1" si="2"/>
        <v>0.22809780504155819</v>
      </c>
      <c r="D96" s="29">
        <f t="shared" ca="1" si="0"/>
        <v>1.2031828183265496</v>
      </c>
      <c r="F96" s="9">
        <f t="shared" ca="1" si="1"/>
        <v>1</v>
      </c>
    </row>
    <row r="97" spans="2:6" s="6" customFormat="1" x14ac:dyDescent="0.25">
      <c r="B97" s="6">
        <v>64</v>
      </c>
      <c r="C97" s="28">
        <f t="shared" ca="1" si="2"/>
        <v>0.60170987094821105</v>
      </c>
      <c r="D97" s="29">
        <f t="shared" ca="1" si="0"/>
        <v>3.3097699142363628</v>
      </c>
      <c r="F97" s="9">
        <f t="shared" ca="1" si="1"/>
        <v>1</v>
      </c>
    </row>
    <row r="98" spans="2:6" s="6" customFormat="1" x14ac:dyDescent="0.25">
      <c r="B98" s="6">
        <v>65</v>
      </c>
      <c r="C98" s="28">
        <f t="shared" ca="1" si="2"/>
        <v>0.19005122729125434</v>
      </c>
      <c r="D98" s="29">
        <f t="shared" ca="1" si="0"/>
        <v>0.95965387146017367</v>
      </c>
      <c r="F98" s="9">
        <f t="shared" ca="1" si="1"/>
        <v>1</v>
      </c>
    </row>
    <row r="99" spans="2:6" s="6" customFormat="1" x14ac:dyDescent="0.25">
      <c r="B99" s="6">
        <v>66</v>
      </c>
      <c r="C99" s="28">
        <f t="shared" ca="1" si="2"/>
        <v>0.70723467441296139</v>
      </c>
      <c r="D99" s="29">
        <f t="shared" ref="D99:D133" ca="1" si="3">IF($C$7=0,$C$5+$C$6*LN(1/LN(1/(C99))),$C$5+$C$6*((LN(1/(C99)))^(-$C$7)-1)/$C$7)</f>
        <v>4.0118345445310304</v>
      </c>
      <c r="F99" s="9">
        <f t="shared" ref="F99:F133" ca="1" si="4">IF(D99&gt;$D$14,0,1)</f>
        <v>1</v>
      </c>
    </row>
    <row r="100" spans="2:6" s="6" customFormat="1" x14ac:dyDescent="0.25">
      <c r="B100" s="6">
        <v>67</v>
      </c>
      <c r="C100" s="28">
        <f t="shared" ref="C100:C133" ca="1" si="5">RAND()</f>
        <v>0.85079892339863228</v>
      </c>
      <c r="D100" s="29">
        <f t="shared" ca="1" si="3"/>
        <v>5.3325711000047642</v>
      </c>
      <c r="F100" s="9">
        <f t="shared" ca="1" si="4"/>
        <v>0</v>
      </c>
    </row>
    <row r="101" spans="2:6" s="6" customFormat="1" x14ac:dyDescent="0.25">
      <c r="B101" s="6">
        <v>68</v>
      </c>
      <c r="C101" s="28">
        <f t="shared" ca="1" si="5"/>
        <v>0.99280220673631914</v>
      </c>
      <c r="D101" s="29">
        <f t="shared" ca="1" si="3"/>
        <v>9.7846278836442213</v>
      </c>
      <c r="F101" s="9">
        <f t="shared" ca="1" si="4"/>
        <v>0</v>
      </c>
    </row>
    <row r="102" spans="2:6" s="6" customFormat="1" x14ac:dyDescent="0.25">
      <c r="B102" s="6">
        <v>69</v>
      </c>
      <c r="C102" s="28">
        <f t="shared" ca="1" si="5"/>
        <v>4.226783486889496E-2</v>
      </c>
      <c r="D102" s="29">
        <f t="shared" ca="1" si="3"/>
        <v>-0.44139870297323647</v>
      </c>
      <c r="F102" s="9">
        <f t="shared" ca="1" si="4"/>
        <v>1</v>
      </c>
    </row>
    <row r="103" spans="2:6" s="6" customFormat="1" x14ac:dyDescent="0.25">
      <c r="B103" s="6">
        <v>70</v>
      </c>
      <c r="C103" s="28">
        <f t="shared" ca="1" si="5"/>
        <v>0.80630694655800583</v>
      </c>
      <c r="D103" s="29">
        <f t="shared" ca="1" si="3"/>
        <v>4.8472981320742257</v>
      </c>
      <c r="F103" s="9">
        <f t="shared" ca="1" si="4"/>
        <v>1</v>
      </c>
    </row>
    <row r="104" spans="2:6" s="6" customFormat="1" x14ac:dyDescent="0.25">
      <c r="B104" s="6">
        <v>71</v>
      </c>
      <c r="C104" s="28">
        <f t="shared" ca="1" si="5"/>
        <v>0.19797595807802715</v>
      </c>
      <c r="D104" s="29">
        <f t="shared" ca="1" si="3"/>
        <v>1.0120011355889984</v>
      </c>
      <c r="F104" s="9">
        <f t="shared" ca="1" si="4"/>
        <v>1</v>
      </c>
    </row>
    <row r="105" spans="2:6" s="6" customFormat="1" x14ac:dyDescent="0.25">
      <c r="B105" s="6">
        <v>72</v>
      </c>
      <c r="C105" s="28">
        <f t="shared" ca="1" si="5"/>
        <v>0.93458455803118645</v>
      </c>
      <c r="D105" s="29">
        <f t="shared" ca="1" si="3"/>
        <v>6.7222706651808828</v>
      </c>
      <c r="F105" s="9">
        <f t="shared" ca="1" si="4"/>
        <v>0</v>
      </c>
    </row>
    <row r="106" spans="2:6" s="6" customFormat="1" x14ac:dyDescent="0.25">
      <c r="B106" s="6">
        <v>73</v>
      </c>
      <c r="C106" s="28">
        <f t="shared" ca="1" si="5"/>
        <v>1.9710271135046975E-2</v>
      </c>
      <c r="D106" s="29">
        <f t="shared" ca="1" si="3"/>
        <v>-0.93146665134551121</v>
      </c>
      <c r="F106" s="9">
        <f t="shared" ca="1" si="4"/>
        <v>1</v>
      </c>
    </row>
    <row r="107" spans="2:6" s="6" customFormat="1" x14ac:dyDescent="0.25">
      <c r="B107" s="6">
        <v>74</v>
      </c>
      <c r="C107" s="28">
        <f t="shared" ca="1" si="5"/>
        <v>0.18816905864885469</v>
      </c>
      <c r="D107" s="29">
        <f t="shared" ca="1" si="3"/>
        <v>0.94707612713528277</v>
      </c>
      <c r="F107" s="9">
        <f t="shared" ca="1" si="4"/>
        <v>1</v>
      </c>
    </row>
    <row r="108" spans="2:6" s="6" customFormat="1" x14ac:dyDescent="0.25">
      <c r="B108" s="6">
        <v>75</v>
      </c>
      <c r="C108" s="28">
        <f t="shared" ca="1" si="5"/>
        <v>0.1124999600373765</v>
      </c>
      <c r="D108" s="29">
        <f t="shared" ca="1" si="3"/>
        <v>0.37424829591228104</v>
      </c>
      <c r="F108" s="9">
        <f t="shared" ca="1" si="4"/>
        <v>1</v>
      </c>
    </row>
    <row r="109" spans="2:6" s="6" customFormat="1" x14ac:dyDescent="0.25">
      <c r="B109" s="6">
        <v>76</v>
      </c>
      <c r="C109" s="28">
        <f t="shared" ca="1" si="5"/>
        <v>0.43177598578623433</v>
      </c>
      <c r="D109" s="29">
        <f t="shared" ca="1" si="3"/>
        <v>2.3460392515233024</v>
      </c>
      <c r="F109" s="9">
        <f t="shared" ca="1" si="4"/>
        <v>1</v>
      </c>
    </row>
    <row r="110" spans="2:6" s="6" customFormat="1" x14ac:dyDescent="0.25">
      <c r="B110" s="6">
        <v>77</v>
      </c>
      <c r="C110" s="28">
        <f t="shared" ca="1" si="5"/>
        <v>0.32811601887843311</v>
      </c>
      <c r="D110" s="29">
        <f t="shared" ca="1" si="3"/>
        <v>1.7822119667896734</v>
      </c>
      <c r="F110" s="9">
        <f t="shared" ca="1" si="4"/>
        <v>1</v>
      </c>
    </row>
    <row r="111" spans="2:6" s="6" customFormat="1" x14ac:dyDescent="0.25">
      <c r="B111" s="6">
        <v>78</v>
      </c>
      <c r="C111" s="28">
        <f t="shared" ca="1" si="5"/>
        <v>0.23909169168425792</v>
      </c>
      <c r="D111" s="29">
        <f t="shared" ca="1" si="3"/>
        <v>1.2703880908308145</v>
      </c>
      <c r="F111" s="9">
        <f t="shared" ca="1" si="4"/>
        <v>1</v>
      </c>
    </row>
    <row r="112" spans="2:6" s="6" customFormat="1" x14ac:dyDescent="0.25">
      <c r="B112" s="6">
        <v>79</v>
      </c>
      <c r="C112" s="28">
        <f t="shared" ca="1" si="5"/>
        <v>0.19246621880916193</v>
      </c>
      <c r="D112" s="29">
        <f t="shared" ca="1" si="3"/>
        <v>0.97570904370963873</v>
      </c>
      <c r="F112" s="9">
        <f t="shared" ca="1" si="4"/>
        <v>1</v>
      </c>
    </row>
    <row r="113" spans="2:6" s="6" customFormat="1" x14ac:dyDescent="0.25">
      <c r="B113" s="6">
        <v>80</v>
      </c>
      <c r="C113" s="28">
        <f t="shared" ca="1" si="5"/>
        <v>0.37408101933164783</v>
      </c>
      <c r="D113" s="29">
        <f t="shared" ca="1" si="3"/>
        <v>2.0336884600487286</v>
      </c>
      <c r="F113" s="9">
        <f t="shared" ca="1" si="4"/>
        <v>1</v>
      </c>
    </row>
    <row r="114" spans="2:6" s="6" customFormat="1" x14ac:dyDescent="0.25">
      <c r="B114" s="6">
        <v>81</v>
      </c>
      <c r="C114" s="28">
        <f t="shared" ca="1" si="5"/>
        <v>0.68068972418018314</v>
      </c>
      <c r="D114" s="29">
        <f t="shared" ca="1" si="3"/>
        <v>3.8224050453877161</v>
      </c>
      <c r="F114" s="9">
        <f t="shared" ca="1" si="4"/>
        <v>1</v>
      </c>
    </row>
    <row r="115" spans="2:6" s="6" customFormat="1" x14ac:dyDescent="0.25">
      <c r="B115" s="6">
        <v>82</v>
      </c>
      <c r="C115" s="28">
        <f t="shared" ca="1" si="5"/>
        <v>0.15648627509344204</v>
      </c>
      <c r="D115" s="29">
        <f t="shared" ca="1" si="3"/>
        <v>0.72549816854405247</v>
      </c>
      <c r="F115" s="9">
        <f t="shared" ca="1" si="4"/>
        <v>1</v>
      </c>
    </row>
    <row r="116" spans="2:6" s="6" customFormat="1" x14ac:dyDescent="0.25">
      <c r="B116" s="6">
        <v>83</v>
      </c>
      <c r="C116" s="28">
        <f t="shared" ca="1" si="5"/>
        <v>0.58339452299016137</v>
      </c>
      <c r="D116" s="29">
        <f t="shared" ca="1" si="3"/>
        <v>3.1990351335398253</v>
      </c>
      <c r="F116" s="9">
        <f t="shared" ca="1" si="4"/>
        <v>1</v>
      </c>
    </row>
    <row r="117" spans="2:6" s="6" customFormat="1" x14ac:dyDescent="0.25">
      <c r="B117" s="6">
        <v>84</v>
      </c>
      <c r="C117" s="28">
        <f t="shared" ca="1" si="5"/>
        <v>0.55122950854297603</v>
      </c>
      <c r="D117" s="29">
        <f t="shared" ca="1" si="3"/>
        <v>3.0099653089597616</v>
      </c>
      <c r="F117" s="9">
        <f t="shared" ca="1" si="4"/>
        <v>1</v>
      </c>
    </row>
    <row r="118" spans="2:6" s="6" customFormat="1" x14ac:dyDescent="0.25">
      <c r="B118" s="6">
        <v>85</v>
      </c>
      <c r="C118" s="28">
        <f t="shared" ca="1" si="5"/>
        <v>0.18400710277190568</v>
      </c>
      <c r="D118" s="29">
        <f t="shared" ca="1" si="3"/>
        <v>0.91905519384932788</v>
      </c>
      <c r="F118" s="9">
        <f t="shared" ca="1" si="4"/>
        <v>1</v>
      </c>
    </row>
    <row r="119" spans="2:6" s="6" customFormat="1" x14ac:dyDescent="0.25">
      <c r="B119" s="6">
        <v>86</v>
      </c>
      <c r="C119" s="28">
        <f t="shared" ca="1" si="5"/>
        <v>2.6954581083600826E-2</v>
      </c>
      <c r="D119" s="29">
        <f t="shared" ca="1" si="3"/>
        <v>-0.74175767510709711</v>
      </c>
      <c r="F119" s="9">
        <f t="shared" ca="1" si="4"/>
        <v>1</v>
      </c>
    </row>
    <row r="120" spans="2:6" s="6" customFormat="1" x14ac:dyDescent="0.25">
      <c r="B120" s="6">
        <v>87</v>
      </c>
      <c r="C120" s="28">
        <f t="shared" ca="1" si="5"/>
        <v>6.0267134788142052E-2</v>
      </c>
      <c r="D120" s="29">
        <f t="shared" ca="1" si="3"/>
        <v>-0.17607492608685504</v>
      </c>
      <c r="F120" s="9">
        <f t="shared" ca="1" si="4"/>
        <v>1</v>
      </c>
    </row>
    <row r="121" spans="2:6" s="6" customFormat="1" x14ac:dyDescent="0.25">
      <c r="B121" s="6">
        <v>88</v>
      </c>
      <c r="C121" s="28">
        <f t="shared" ca="1" si="5"/>
        <v>0.58176356601676749</v>
      </c>
      <c r="D121" s="29">
        <f t="shared" ca="1" si="3"/>
        <v>3.1892907691130006</v>
      </c>
      <c r="F121" s="9">
        <f t="shared" ca="1" si="4"/>
        <v>1</v>
      </c>
    </row>
    <row r="122" spans="2:6" s="6" customFormat="1" x14ac:dyDescent="0.25">
      <c r="B122" s="6">
        <v>89</v>
      </c>
      <c r="C122" s="28">
        <f t="shared" ca="1" si="5"/>
        <v>0.13042643786216512</v>
      </c>
      <c r="D122" s="29">
        <f t="shared" ca="1" si="3"/>
        <v>0.52525847613760046</v>
      </c>
      <c r="F122" s="9">
        <f t="shared" ca="1" si="4"/>
        <v>1</v>
      </c>
    </row>
    <row r="123" spans="2:6" s="6" customFormat="1" x14ac:dyDescent="0.25">
      <c r="B123" s="6">
        <v>90</v>
      </c>
      <c r="C123" s="28">
        <f t="shared" ca="1" si="5"/>
        <v>0.86586115125014584</v>
      </c>
      <c r="D123" s="29">
        <f t="shared" ca="1" si="3"/>
        <v>5.5230999276320869</v>
      </c>
      <c r="F123" s="9">
        <f t="shared" ca="1" si="4"/>
        <v>0</v>
      </c>
    </row>
    <row r="124" spans="2:6" s="6" customFormat="1" x14ac:dyDescent="0.25">
      <c r="B124" s="6">
        <v>91</v>
      </c>
      <c r="C124" s="28">
        <f t="shared" ca="1" si="5"/>
        <v>0.85273881469384616</v>
      </c>
      <c r="D124" s="29">
        <f t="shared" ca="1" si="3"/>
        <v>5.3562144446637365</v>
      </c>
      <c r="F124" s="9">
        <f t="shared" ca="1" si="4"/>
        <v>0</v>
      </c>
    </row>
    <row r="125" spans="2:6" s="6" customFormat="1" x14ac:dyDescent="0.25">
      <c r="B125" s="6">
        <v>92</v>
      </c>
      <c r="C125" s="28">
        <f t="shared" ca="1" si="5"/>
        <v>0.85236806613287552</v>
      </c>
      <c r="D125" s="29">
        <f t="shared" ca="1" si="3"/>
        <v>5.3516765342583676</v>
      </c>
      <c r="F125" s="9">
        <f t="shared" ca="1" si="4"/>
        <v>0</v>
      </c>
    </row>
    <row r="126" spans="2:6" s="6" customFormat="1" x14ac:dyDescent="0.25">
      <c r="B126" s="6">
        <v>93</v>
      </c>
      <c r="C126" s="28">
        <f t="shared" ca="1" si="5"/>
        <v>0.63856154695744916</v>
      </c>
      <c r="D126" s="29">
        <f t="shared" ca="1" si="3"/>
        <v>3.5409288456051251</v>
      </c>
      <c r="F126" s="9">
        <f t="shared" ca="1" si="4"/>
        <v>1</v>
      </c>
    </row>
    <row r="127" spans="2:6" s="6" customFormat="1" x14ac:dyDescent="0.25">
      <c r="B127" s="6">
        <v>94</v>
      </c>
      <c r="C127" s="28">
        <f t="shared" ca="1" si="5"/>
        <v>0.78843498525101852</v>
      </c>
      <c r="D127" s="29">
        <f t="shared" ca="1" si="3"/>
        <v>4.6765699172166135</v>
      </c>
      <c r="F127" s="9">
        <f t="shared" ca="1" si="4"/>
        <v>1</v>
      </c>
    </row>
    <row r="128" spans="2:6" s="6" customFormat="1" x14ac:dyDescent="0.25">
      <c r="B128" s="6">
        <v>95</v>
      </c>
      <c r="C128" s="28">
        <f t="shared" ca="1" si="5"/>
        <v>0.76272390086895481</v>
      </c>
      <c r="D128" s="29">
        <f t="shared" ca="1" si="3"/>
        <v>4.4488996035483961</v>
      </c>
      <c r="F128" s="9">
        <f t="shared" ca="1" si="4"/>
        <v>1</v>
      </c>
    </row>
    <row r="129" spans="2:6" s="6" customFormat="1" x14ac:dyDescent="0.25">
      <c r="B129" s="6">
        <v>96</v>
      </c>
      <c r="C129" s="28">
        <f t="shared" ca="1" si="5"/>
        <v>6.7775193199519301E-2</v>
      </c>
      <c r="D129" s="29">
        <f t="shared" ca="1" si="3"/>
        <v>-8.159227569126859E-2</v>
      </c>
      <c r="F129" s="9">
        <f t="shared" ca="1" si="4"/>
        <v>1</v>
      </c>
    </row>
    <row r="130" spans="2:6" s="6" customFormat="1" x14ac:dyDescent="0.25">
      <c r="B130" s="6">
        <v>97</v>
      </c>
      <c r="C130" s="28">
        <f t="shared" ca="1" si="5"/>
        <v>0.21852199380966397</v>
      </c>
      <c r="D130" s="29">
        <f t="shared" ca="1" si="3"/>
        <v>1.1436087467386606</v>
      </c>
      <c r="F130" s="9">
        <f t="shared" ca="1" si="4"/>
        <v>1</v>
      </c>
    </row>
    <row r="131" spans="2:6" s="6" customFormat="1" x14ac:dyDescent="0.25">
      <c r="B131" s="6">
        <v>98</v>
      </c>
      <c r="C131" s="28">
        <f t="shared" ca="1" si="5"/>
        <v>0.46997349528882038</v>
      </c>
      <c r="D131" s="29">
        <f t="shared" ca="1" si="3"/>
        <v>2.5540469149023752</v>
      </c>
      <c r="F131" s="9">
        <f t="shared" ca="1" si="4"/>
        <v>1</v>
      </c>
    </row>
    <row r="132" spans="2:6" s="6" customFormat="1" x14ac:dyDescent="0.25">
      <c r="B132" s="6">
        <v>99</v>
      </c>
      <c r="C132" s="28">
        <f t="shared" ca="1" si="5"/>
        <v>0.34367502675158279</v>
      </c>
      <c r="D132" s="29">
        <f t="shared" ca="1" si="3"/>
        <v>1.8678800087431462</v>
      </c>
      <c r="F132" s="9">
        <f t="shared" ca="1" si="4"/>
        <v>1</v>
      </c>
    </row>
    <row r="133" spans="2:6" s="6" customFormat="1" x14ac:dyDescent="0.25">
      <c r="B133" s="6">
        <v>100</v>
      </c>
      <c r="C133" s="28">
        <f t="shared" ca="1" si="5"/>
        <v>0.10499702615795026</v>
      </c>
      <c r="D133" s="29">
        <f t="shared" ca="1" si="3"/>
        <v>0.30688187260807176</v>
      </c>
      <c r="F133" s="9">
        <f t="shared" ca="1" si="4"/>
        <v>1</v>
      </c>
    </row>
  </sheetData>
  <sheetProtection sheet="1" objects="1" scenarios="1"/>
  <hyperlinks>
    <hyperlink ref="G1" r:id="rId1" xr:uid="{00000000-0004-0000-0700-000000000000}"/>
    <hyperlink ref="F16" r:id="rId2" xr:uid="{00000000-0004-0000-0700-000001000000}"/>
  </hyperlinks>
  <pageMargins left="0.7" right="0.7" top="0.75" bottom="0.75" header="0.3" footer="0.3"/>
  <pageSetup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43"/>
  <sheetViews>
    <sheetView zoomScale="90" zoomScaleNormal="90" workbookViewId="0">
      <selection activeCell="D8" sqref="D8"/>
    </sheetView>
  </sheetViews>
  <sheetFormatPr defaultRowHeight="15" x14ac:dyDescent="0.25"/>
  <cols>
    <col min="1" max="1" width="15.140625" customWidth="1"/>
    <col min="2" max="2" width="9.5703125" customWidth="1"/>
    <col min="3" max="3" width="14" customWidth="1"/>
    <col min="4" max="4" width="19.42578125" customWidth="1"/>
    <col min="5" max="5" width="12.85546875" customWidth="1"/>
    <col min="6" max="6" width="17.7109375" customWidth="1"/>
    <col min="7" max="7" width="28.5703125" customWidth="1"/>
    <col min="8" max="8" width="29" customWidth="1"/>
    <col min="9" max="9" width="16.85546875" customWidth="1"/>
    <col min="10" max="10" width="11.85546875" bestFit="1" customWidth="1"/>
  </cols>
  <sheetData>
    <row r="1" spans="1:10" s="7" customFormat="1" ht="26.25" x14ac:dyDescent="0.4">
      <c r="A1" s="7" t="s">
        <v>77</v>
      </c>
      <c r="G1" s="41" t="s">
        <v>78</v>
      </c>
    </row>
    <row r="2" spans="1:10" s="7" customFormat="1" ht="11.25" customHeight="1" x14ac:dyDescent="0.4"/>
    <row r="3" spans="1:10" s="7" customFormat="1" ht="19.5" customHeight="1" x14ac:dyDescent="0.4">
      <c r="C3" s="8" t="s">
        <v>79</v>
      </c>
    </row>
    <row r="4" spans="1:10" s="6" customFormat="1" ht="7.5" customHeight="1" thickBot="1" x14ac:dyDescent="0.3"/>
    <row r="5" spans="1:10" s="1" customFormat="1" ht="19.5" thickBot="1" x14ac:dyDescent="0.35">
      <c r="A5" s="2" t="s">
        <v>1</v>
      </c>
      <c r="B5" s="3" t="s">
        <v>6</v>
      </c>
      <c r="C5" s="57">
        <v>1.5</v>
      </c>
      <c r="E5" s="3" t="s">
        <v>56</v>
      </c>
      <c r="F5" s="3" t="s">
        <v>85</v>
      </c>
      <c r="G5" s="45">
        <f>EXP($C$5+($C$6^2/2))</f>
        <v>5.0784190371800815</v>
      </c>
      <c r="H5" s="3" t="s">
        <v>107</v>
      </c>
      <c r="I5" s="3" t="s">
        <v>6</v>
      </c>
      <c r="J5" s="45">
        <f>C5</f>
        <v>1.5</v>
      </c>
    </row>
    <row r="6" spans="1:10" s="1" customFormat="1" ht="19.5" thickBot="1" x14ac:dyDescent="0.35">
      <c r="A6" s="2"/>
      <c r="B6" s="3" t="s">
        <v>8</v>
      </c>
      <c r="C6" s="57">
        <v>0.5</v>
      </c>
      <c r="F6" s="3" t="s">
        <v>83</v>
      </c>
      <c r="G6" s="45">
        <f>EXP(1.645*$C$6)</f>
        <v>2.2761831883546866</v>
      </c>
      <c r="H6" s="63" t="s">
        <v>108</v>
      </c>
      <c r="I6" s="3" t="s">
        <v>109</v>
      </c>
      <c r="J6" s="45">
        <f>1/(C6^2)</f>
        <v>4</v>
      </c>
    </row>
    <row r="7" spans="1:10" s="6" customFormat="1" ht="18.75" x14ac:dyDescent="0.3">
      <c r="A7" s="4" t="s">
        <v>9</v>
      </c>
      <c r="B7" s="5"/>
    </row>
    <row r="8" spans="1:10" s="6" customFormat="1" ht="37.5" x14ac:dyDescent="0.3">
      <c r="A8" s="4"/>
      <c r="B8" s="5"/>
      <c r="C8" s="17" t="s">
        <v>10</v>
      </c>
      <c r="D8" s="17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8" t="s">
        <v>16</v>
      </c>
      <c r="J8" s="10"/>
    </row>
    <row r="9" spans="1:10" s="6" customFormat="1" ht="45" x14ac:dyDescent="0.3">
      <c r="A9" s="4"/>
      <c r="B9" s="5"/>
      <c r="D9" s="11"/>
      <c r="E9" s="49" t="s">
        <v>88</v>
      </c>
      <c r="F9" s="14" t="s">
        <v>169</v>
      </c>
      <c r="G9" s="15" t="s">
        <v>86</v>
      </c>
      <c r="H9" s="15" t="s">
        <v>101</v>
      </c>
      <c r="I9" s="16" t="s">
        <v>87</v>
      </c>
    </row>
    <row r="10" spans="1:10" s="6" customFormat="1" ht="10.5" customHeight="1" x14ac:dyDescent="0.25"/>
    <row r="11" spans="1:10" s="19" customFormat="1" ht="19.5" thickBot="1" x14ac:dyDescent="0.35">
      <c r="A11" s="2" t="s">
        <v>84</v>
      </c>
    </row>
    <row r="12" spans="1:10" s="1" customFormat="1" ht="19.5" thickBot="1" x14ac:dyDescent="0.35">
      <c r="C12" s="3" t="s">
        <v>20</v>
      </c>
      <c r="D12" s="57">
        <v>0.1</v>
      </c>
    </row>
    <row r="13" spans="1:10" s="1" customFormat="1" ht="19.5" thickBot="1" x14ac:dyDescent="0.35">
      <c r="C13" s="3" t="s">
        <v>21</v>
      </c>
      <c r="D13" s="57">
        <v>5</v>
      </c>
    </row>
    <row r="14" spans="1:10" s="1" customFormat="1" ht="18.75" x14ac:dyDescent="0.3">
      <c r="A14" s="22" t="str">
        <f>IF(D13&lt;D12,"ERROR -- The high value MUST be larger than the low value", "")</f>
        <v/>
      </c>
      <c r="D14" s="26"/>
      <c r="E14" s="23"/>
    </row>
    <row r="15" spans="1:10" s="1" customFormat="1" ht="15.75" x14ac:dyDescent="0.25">
      <c r="C15" s="104" t="str">
        <f xml:space="preserve"> "Pr(" &amp; D12 &amp; " ≤ X ≤ " &amp; D13 &amp;") ="</f>
        <v>Pr(0.1 ≤ X ≤ 5) =</v>
      </c>
      <c r="D15" s="46">
        <f>LOGNORMDIST($D$13,$C$5,$C$6)-LOGNORMDIST($D$12,$C$5,$C$6)</f>
        <v>0.58662661058121357</v>
      </c>
    </row>
    <row r="16" spans="1:10" s="1" customFormat="1" ht="15.75" x14ac:dyDescent="0.25">
      <c r="C16" s="20" t="str">
        <f>"Pr(X ≤ "&amp;D12&amp;") ="</f>
        <v>Pr(X ≤ 0.1) =</v>
      </c>
      <c r="D16" s="46">
        <f>LOGNORMDIST($D$12,$C$5,$C$6)</f>
        <v>1.4226461137476995E-14</v>
      </c>
    </row>
    <row r="17" spans="1:6" s="1" customFormat="1" ht="15.75" x14ac:dyDescent="0.25">
      <c r="C17" s="20" t="str">
        <f>"Pr(X ≤ " &amp; D13 &amp; ") ="</f>
        <v>Pr(X ≤ 5) =</v>
      </c>
      <c r="D17" s="46">
        <f>LOGNORMDIST($D$13,$C$5,$C$6)</f>
        <v>0.58662661058122778</v>
      </c>
    </row>
    <row r="18" spans="1:6" s="1" customFormat="1" ht="15.75" x14ac:dyDescent="0.25">
      <c r="C18" s="20" t="str">
        <f>"Pr(X &gt; " &amp; D13 &amp;") ="</f>
        <v>Pr(X &gt; 5) =</v>
      </c>
      <c r="D18" s="46">
        <f>1-LOGNORMDIST($D$13,$C$5,$C$6)</f>
        <v>0.41337338941877222</v>
      </c>
    </row>
    <row r="19" spans="1:6" s="1" customFormat="1" ht="15.75" x14ac:dyDescent="0.25">
      <c r="C19" s="20"/>
      <c r="D19" s="24"/>
      <c r="F19" s="61" t="s">
        <v>105</v>
      </c>
    </row>
    <row r="20" spans="1:6" s="1" customFormat="1" ht="15.75" x14ac:dyDescent="0.25">
      <c r="C20" s="20" t="s">
        <v>52</v>
      </c>
      <c r="D20" s="46">
        <f>EXP($C$5+($C$6^2/2))</f>
        <v>5.0784190371800815</v>
      </c>
    </row>
    <row r="21" spans="1:6" s="1" customFormat="1" ht="15.75" x14ac:dyDescent="0.25">
      <c r="C21" s="20" t="s">
        <v>100</v>
      </c>
      <c r="D21" s="46">
        <f>EXP(1.645*$C$6)</f>
        <v>2.2761831883546866</v>
      </c>
    </row>
    <row r="22" spans="1:6" s="1" customFormat="1" ht="15.75" x14ac:dyDescent="0.25">
      <c r="C22" s="20" t="s">
        <v>38</v>
      </c>
      <c r="D22" s="46">
        <f>SQRT(D23)</f>
        <v>2.7064944192625355</v>
      </c>
    </row>
    <row r="23" spans="1:6" s="1" customFormat="1" ht="15.75" x14ac:dyDescent="0.25">
      <c r="C23" s="20" t="s">
        <v>34</v>
      </c>
      <c r="D23" s="46">
        <f>D20^2*(EXP(C6^2)-1)</f>
        <v>7.3251120414992501</v>
      </c>
    </row>
    <row r="24" spans="1:6" s="1" customFormat="1" ht="15.75" x14ac:dyDescent="0.25">
      <c r="C24" s="20" t="s">
        <v>106</v>
      </c>
      <c r="D24" s="46">
        <f>1/D23</f>
        <v>0.13651668320356877</v>
      </c>
    </row>
    <row r="25" spans="1:6" s="1" customFormat="1" ht="15.75" x14ac:dyDescent="0.25">
      <c r="C25" s="20"/>
      <c r="D25" s="21"/>
    </row>
    <row r="26" spans="1:6" s="1" customFormat="1" ht="15.75" x14ac:dyDescent="0.25">
      <c r="C26" s="20" t="s">
        <v>35</v>
      </c>
      <c r="D26" s="46">
        <f>LOGINV(0.05,C5,C6)</f>
        <v>1.9690933069524095</v>
      </c>
    </row>
    <row r="27" spans="1:6" s="1" customFormat="1" ht="15.75" x14ac:dyDescent="0.25">
      <c r="C27" s="20" t="s">
        <v>36</v>
      </c>
      <c r="D27" s="46">
        <f>LOGINV(0.5, $C$5, $C$6)</f>
        <v>4.4816890703380645</v>
      </c>
    </row>
    <row r="28" spans="1:6" s="1" customFormat="1" ht="15.75" x14ac:dyDescent="0.25">
      <c r="C28" s="20" t="s">
        <v>37</v>
      </c>
      <c r="D28" s="46">
        <f>LOGINV(0.95, $C$5, $C$6)</f>
        <v>10.200398758286521</v>
      </c>
    </row>
    <row r="29" spans="1:6" s="1" customFormat="1" ht="16.5" customHeight="1" thickBot="1" x14ac:dyDescent="0.3">
      <c r="A29" s="127" t="s">
        <v>103</v>
      </c>
      <c r="B29" s="127"/>
      <c r="C29" s="127"/>
      <c r="D29" s="127"/>
    </row>
    <row r="30" spans="1:6" s="1" customFormat="1" ht="15.75" x14ac:dyDescent="0.25">
      <c r="A30" s="52" t="s">
        <v>52</v>
      </c>
      <c r="B30" s="59">
        <v>5.29</v>
      </c>
      <c r="C30" s="53" t="s">
        <v>6</v>
      </c>
      <c r="D30" s="56">
        <f>LN(B30)-((D31^2)/2)</f>
        <v>1.6194816656494346</v>
      </c>
    </row>
    <row r="31" spans="1:6" s="1" customFormat="1" ht="16.5" thickBot="1" x14ac:dyDescent="0.3">
      <c r="A31" s="54" t="s">
        <v>80</v>
      </c>
      <c r="B31" s="60">
        <v>1.65</v>
      </c>
      <c r="C31" s="55" t="s">
        <v>8</v>
      </c>
      <c r="D31" s="58">
        <f>LN(B31)/1.645</f>
        <v>0.30442266742400559</v>
      </c>
    </row>
    <row r="32" spans="1:6" s="1" customFormat="1" ht="15.75" thickBot="1" x14ac:dyDescent="0.3"/>
    <row r="33" spans="1:7" s="1" customFormat="1" ht="15.75" x14ac:dyDescent="0.25">
      <c r="A33" s="52" t="s">
        <v>104</v>
      </c>
      <c r="B33" s="59">
        <v>3.0899999999999999E-3</v>
      </c>
      <c r="C33" s="53" t="s">
        <v>6</v>
      </c>
      <c r="D33" s="56">
        <f>LN(B33)</f>
        <v>-5.7795841880724828</v>
      </c>
    </row>
    <row r="34" spans="1:7" s="1" customFormat="1" ht="16.5" thickBot="1" x14ac:dyDescent="0.3">
      <c r="A34" s="54" t="s">
        <v>80</v>
      </c>
      <c r="B34" s="60">
        <v>5</v>
      </c>
      <c r="C34" s="55" t="s">
        <v>8</v>
      </c>
      <c r="D34" s="58">
        <f>LN(B34)/1.645</f>
        <v>0.97838170968638316</v>
      </c>
    </row>
    <row r="35" spans="1:7" s="1" customFormat="1" ht="15.75" thickBot="1" x14ac:dyDescent="0.3"/>
    <row r="36" spans="1:7" s="1" customFormat="1" ht="15.75" x14ac:dyDescent="0.25">
      <c r="A36" s="52" t="s">
        <v>12</v>
      </c>
      <c r="B36" s="59">
        <v>0.01</v>
      </c>
      <c r="C36" s="53" t="s">
        <v>6</v>
      </c>
      <c r="D36" s="56">
        <f>LN(B36)-(0.5*D37^2)</f>
        <v>-4.9517437762680636</v>
      </c>
    </row>
    <row r="37" spans="1:7" s="1" customFormat="1" ht="16.5" thickBot="1" x14ac:dyDescent="0.3">
      <c r="A37" s="54" t="s">
        <v>170</v>
      </c>
      <c r="B37" s="60">
        <v>0.01</v>
      </c>
      <c r="C37" s="55" t="s">
        <v>8</v>
      </c>
      <c r="D37" s="58">
        <f>SQRT(LN(1+(B37^2/(B36^2))))</f>
        <v>0.83255461115769769</v>
      </c>
    </row>
    <row r="38" spans="1:7" s="1" customFormat="1" x14ac:dyDescent="0.25"/>
    <row r="39" spans="1:7" s="6" customFormat="1" ht="18.75" x14ac:dyDescent="0.3">
      <c r="A39" s="4" t="s">
        <v>102</v>
      </c>
    </row>
    <row r="40" spans="1:7" s="6" customFormat="1" ht="18.75" x14ac:dyDescent="0.3">
      <c r="A40" s="4"/>
    </row>
    <row r="41" spans="1:7" s="6" customFormat="1" ht="18.75" x14ac:dyDescent="0.3">
      <c r="A41" s="4"/>
      <c r="C41" s="30" t="s">
        <v>44</v>
      </c>
      <c r="D41" s="48">
        <f ca="1">AVERAGE(D44:D143)</f>
        <v>4.9589796354597784</v>
      </c>
      <c r="F41" s="30" t="s">
        <v>45</v>
      </c>
      <c r="G41" s="48">
        <f ca="1">STDEV(D44:D143)</f>
        <v>2.6677867679040621</v>
      </c>
    </row>
    <row r="42" spans="1:7" s="6" customFormat="1" ht="18.75" x14ac:dyDescent="0.3">
      <c r="A42" s="4"/>
    </row>
    <row r="43" spans="1:7" s="6" customFormat="1" ht="15.75" x14ac:dyDescent="0.25">
      <c r="B43" s="31" t="s">
        <v>41</v>
      </c>
      <c r="C43" s="31" t="s">
        <v>42</v>
      </c>
      <c r="D43" s="31" t="s">
        <v>43</v>
      </c>
      <c r="E43" s="33"/>
      <c r="F43" s="34" t="s">
        <v>46</v>
      </c>
    </row>
    <row r="44" spans="1:7" s="6" customFormat="1" x14ac:dyDescent="0.25">
      <c r="B44" s="6">
        <v>1</v>
      </c>
      <c r="C44" s="28">
        <f ca="1">RAND()</f>
        <v>0.49289259736455204</v>
      </c>
      <c r="D44" s="47">
        <f ca="1">LOGINV(C44,$C$5,$C$6)</f>
        <v>4.4419422324117885</v>
      </c>
      <c r="F44" s="9">
        <f ca="1">IF(D44&gt;$D$13,0,1)</f>
        <v>1</v>
      </c>
    </row>
    <row r="45" spans="1:7" s="6" customFormat="1" x14ac:dyDescent="0.25">
      <c r="B45" s="6">
        <v>2</v>
      </c>
      <c r="C45" s="28">
        <f ca="1">RAND()</f>
        <v>0.71397148778946051</v>
      </c>
      <c r="D45" s="47">
        <f t="shared" ref="D45:D108" ca="1" si="0">LOGINV(C45,$C$5,$C$6)</f>
        <v>5.9447727591323556</v>
      </c>
      <c r="F45" s="9">
        <f t="shared" ref="F45:F108" ca="1" si="1">IF(D45&gt;$D$13,0,1)</f>
        <v>0</v>
      </c>
      <c r="G45" s="36" t="s">
        <v>47</v>
      </c>
    </row>
    <row r="46" spans="1:7" s="6" customFormat="1" x14ac:dyDescent="0.25">
      <c r="B46" s="6">
        <v>3</v>
      </c>
      <c r="C46" s="28">
        <f t="shared" ref="C46:C109" ca="1" si="2">RAND()</f>
        <v>0.60159964785642006</v>
      </c>
      <c r="D46" s="47">
        <f t="shared" ca="1" si="0"/>
        <v>5.0974728110644865</v>
      </c>
      <c r="F46" s="9">
        <f t="shared" ca="1" si="1"/>
        <v>0</v>
      </c>
      <c r="G46" s="47">
        <f ca="1">SUM(F44:F143)/100</f>
        <v>0.61</v>
      </c>
    </row>
    <row r="47" spans="1:7" s="6" customFormat="1" x14ac:dyDescent="0.25">
      <c r="B47" s="6">
        <v>4</v>
      </c>
      <c r="C47" s="28">
        <f t="shared" ca="1" si="2"/>
        <v>0.32022809258557039</v>
      </c>
      <c r="D47" s="47">
        <f t="shared" ca="1" si="0"/>
        <v>3.5483030124748409</v>
      </c>
      <c r="F47" s="9">
        <f t="shared" ca="1" si="1"/>
        <v>1</v>
      </c>
    </row>
    <row r="48" spans="1:7" s="6" customFormat="1" x14ac:dyDescent="0.25">
      <c r="B48" s="6">
        <v>5</v>
      </c>
      <c r="C48" s="28">
        <f t="shared" ca="1" si="2"/>
        <v>0.90670727666573048</v>
      </c>
      <c r="D48" s="47">
        <f t="shared" ca="1" si="0"/>
        <v>8.6743807084252502</v>
      </c>
      <c r="F48" s="9">
        <f t="shared" ca="1" si="1"/>
        <v>0</v>
      </c>
      <c r="G48" s="36" t="s">
        <v>49</v>
      </c>
    </row>
    <row r="49" spans="2:7" s="6" customFormat="1" x14ac:dyDescent="0.25">
      <c r="B49" s="6">
        <v>6</v>
      </c>
      <c r="C49" s="28">
        <f t="shared" ca="1" si="2"/>
        <v>0.26229809932732417</v>
      </c>
      <c r="D49" s="47">
        <f t="shared" ca="1" si="0"/>
        <v>3.2604386263976237</v>
      </c>
      <c r="F49" s="9">
        <f t="shared" ca="1" si="1"/>
        <v>1</v>
      </c>
      <c r="G49" s="47">
        <f ca="1">PERCENTILE($D$44:$D$143, 0.05)</f>
        <v>2.0733043419898114</v>
      </c>
    </row>
    <row r="50" spans="2:7" s="6" customFormat="1" x14ac:dyDescent="0.25">
      <c r="B50" s="6">
        <v>7</v>
      </c>
      <c r="C50" s="28">
        <f t="shared" ca="1" si="2"/>
        <v>5.8240655036813305E-2</v>
      </c>
      <c r="D50" s="47">
        <f t="shared" ca="1" si="0"/>
        <v>2.0444774731032509</v>
      </c>
      <c r="F50" s="9">
        <f t="shared" ca="1" si="1"/>
        <v>1</v>
      </c>
    </row>
    <row r="51" spans="2:7" s="6" customFormat="1" x14ac:dyDescent="0.25">
      <c r="B51" s="6">
        <v>8</v>
      </c>
      <c r="C51" s="28">
        <f t="shared" ca="1" si="2"/>
        <v>0.74835150817091989</v>
      </c>
      <c r="D51" s="47">
        <f t="shared" ca="1" si="0"/>
        <v>6.2629768053158035</v>
      </c>
      <c r="F51" s="9">
        <f t="shared" ca="1" si="1"/>
        <v>0</v>
      </c>
      <c r="G51" s="36" t="s">
        <v>50</v>
      </c>
    </row>
    <row r="52" spans="2:7" s="6" customFormat="1" x14ac:dyDescent="0.25">
      <c r="B52" s="6">
        <v>9</v>
      </c>
      <c r="C52" s="28">
        <f t="shared" ca="1" si="2"/>
        <v>0.43845350426316565</v>
      </c>
      <c r="D52" s="47">
        <f t="shared" ca="1" si="0"/>
        <v>4.1477015917242941</v>
      </c>
      <c r="F52" s="9">
        <f t="shared" ca="1" si="1"/>
        <v>1</v>
      </c>
      <c r="G52" s="47">
        <f ca="1">PERCENTILE($D$44:$D$143, 0.5)</f>
        <v>4.1304610785134788</v>
      </c>
    </row>
    <row r="53" spans="2:7" s="6" customFormat="1" x14ac:dyDescent="0.25">
      <c r="B53" s="6">
        <v>10</v>
      </c>
      <c r="C53" s="28">
        <f t="shared" ca="1" si="2"/>
        <v>0.28932792318510103</v>
      </c>
      <c r="D53" s="47">
        <f t="shared" ca="1" si="0"/>
        <v>3.3950734999805556</v>
      </c>
      <c r="F53" s="9">
        <f t="shared" ca="1" si="1"/>
        <v>1</v>
      </c>
    </row>
    <row r="54" spans="2:7" s="6" customFormat="1" x14ac:dyDescent="0.25">
      <c r="B54" s="6">
        <v>11</v>
      </c>
      <c r="C54" s="28">
        <f t="shared" ca="1" si="2"/>
        <v>0.18318216493382256</v>
      </c>
      <c r="D54" s="47">
        <f t="shared" ca="1" si="0"/>
        <v>2.8529335188242531</v>
      </c>
      <c r="F54" s="9">
        <f t="shared" ca="1" si="1"/>
        <v>1</v>
      </c>
      <c r="G54" s="36" t="s">
        <v>51</v>
      </c>
    </row>
    <row r="55" spans="2:7" s="6" customFormat="1" x14ac:dyDescent="0.25">
      <c r="B55" s="6">
        <v>12</v>
      </c>
      <c r="C55" s="28">
        <f t="shared" ca="1" si="2"/>
        <v>0.33497535222426511</v>
      </c>
      <c r="D55" s="47">
        <f t="shared" ca="1" si="0"/>
        <v>3.6215139908572396</v>
      </c>
      <c r="F55" s="9">
        <f t="shared" ca="1" si="1"/>
        <v>1</v>
      </c>
      <c r="G55" s="47">
        <f ca="1">PERCENTILE($D$44:$D$143, 0.95)</f>
        <v>10.036949100939218</v>
      </c>
    </row>
    <row r="56" spans="2:7" s="6" customFormat="1" x14ac:dyDescent="0.25">
      <c r="B56" s="6">
        <v>13</v>
      </c>
      <c r="C56" s="28">
        <f t="shared" ca="1" si="2"/>
        <v>0.61021997694538355</v>
      </c>
      <c r="D56" s="47">
        <f t="shared" ca="1" si="0"/>
        <v>5.1548922122128928</v>
      </c>
      <c r="F56" s="9">
        <f t="shared" ca="1" si="1"/>
        <v>0</v>
      </c>
    </row>
    <row r="57" spans="2:7" s="6" customFormat="1" x14ac:dyDescent="0.25">
      <c r="B57" s="6">
        <v>14</v>
      </c>
      <c r="C57" s="28">
        <f t="shared" ca="1" si="2"/>
        <v>0.38520054515449598</v>
      </c>
      <c r="D57" s="47">
        <f t="shared" ca="1" si="0"/>
        <v>3.8731760439937628</v>
      </c>
      <c r="F57" s="9">
        <f t="shared" ca="1" si="1"/>
        <v>1</v>
      </c>
    </row>
    <row r="58" spans="2:7" s="6" customFormat="1" x14ac:dyDescent="0.25">
      <c r="B58" s="6">
        <v>15</v>
      </c>
      <c r="C58" s="28">
        <f t="shared" ca="1" si="2"/>
        <v>0.37674904812663979</v>
      </c>
      <c r="D58" s="47">
        <f t="shared" ca="1" si="0"/>
        <v>3.8304599842920712</v>
      </c>
      <c r="F58" s="9">
        <f t="shared" ca="1" si="1"/>
        <v>1</v>
      </c>
    </row>
    <row r="59" spans="2:7" s="6" customFormat="1" x14ac:dyDescent="0.25">
      <c r="B59" s="6">
        <v>16</v>
      </c>
      <c r="C59" s="28">
        <f t="shared" ca="1" si="2"/>
        <v>0.77572532769849634</v>
      </c>
      <c r="D59" s="47">
        <f t="shared" ca="1" si="0"/>
        <v>6.5464168387333785</v>
      </c>
      <c r="F59" s="9">
        <f t="shared" ca="1" si="1"/>
        <v>0</v>
      </c>
    </row>
    <row r="60" spans="2:7" s="6" customFormat="1" x14ac:dyDescent="0.25">
      <c r="B60" s="6">
        <v>17</v>
      </c>
      <c r="C60" s="28">
        <f t="shared" ca="1" si="2"/>
        <v>0.22558454662327709</v>
      </c>
      <c r="D60" s="47">
        <f t="shared" ca="1" si="0"/>
        <v>3.0748813012012812</v>
      </c>
      <c r="F60" s="9">
        <f t="shared" ca="1" si="1"/>
        <v>1</v>
      </c>
    </row>
    <row r="61" spans="2:7" s="6" customFormat="1" x14ac:dyDescent="0.25">
      <c r="B61" s="6">
        <v>18</v>
      </c>
      <c r="C61" s="28">
        <f t="shared" ca="1" si="2"/>
        <v>0.13094438765697725</v>
      </c>
      <c r="D61" s="47">
        <f t="shared" ca="1" si="0"/>
        <v>2.5575019168764643</v>
      </c>
      <c r="F61" s="9">
        <f t="shared" ca="1" si="1"/>
        <v>1</v>
      </c>
    </row>
    <row r="62" spans="2:7" s="6" customFormat="1" x14ac:dyDescent="0.25">
      <c r="B62" s="6">
        <v>19</v>
      </c>
      <c r="C62" s="28">
        <f t="shared" ca="1" si="2"/>
        <v>7.6213895770084417E-2</v>
      </c>
      <c r="D62" s="47">
        <f t="shared" ca="1" si="0"/>
        <v>2.1913017459326207</v>
      </c>
      <c r="F62" s="9">
        <f t="shared" ca="1" si="1"/>
        <v>1</v>
      </c>
    </row>
    <row r="63" spans="2:7" s="6" customFormat="1" x14ac:dyDescent="0.25">
      <c r="B63" s="6">
        <v>20</v>
      </c>
      <c r="C63" s="28">
        <f t="shared" ca="1" si="2"/>
        <v>0.22607119376447893</v>
      </c>
      <c r="D63" s="47">
        <f t="shared" ca="1" si="0"/>
        <v>3.0773718259418033</v>
      </c>
      <c r="F63" s="9">
        <f t="shared" ca="1" si="1"/>
        <v>1</v>
      </c>
    </row>
    <row r="64" spans="2:7" s="6" customFormat="1" x14ac:dyDescent="0.25">
      <c r="B64" s="6">
        <v>21</v>
      </c>
      <c r="C64" s="28">
        <f t="shared" ca="1" si="2"/>
        <v>0.38669558985651664</v>
      </c>
      <c r="D64" s="47">
        <f t="shared" ca="1" si="0"/>
        <v>3.8807523066345815</v>
      </c>
      <c r="F64" s="9">
        <f t="shared" ca="1" si="1"/>
        <v>1</v>
      </c>
    </row>
    <row r="65" spans="2:6" s="6" customFormat="1" x14ac:dyDescent="0.25">
      <c r="B65" s="6">
        <v>22</v>
      </c>
      <c r="C65" s="28">
        <f t="shared" ca="1" si="2"/>
        <v>0.43188096809498688</v>
      </c>
      <c r="D65" s="47">
        <f t="shared" ca="1" si="0"/>
        <v>4.1132205653026634</v>
      </c>
      <c r="F65" s="9">
        <f t="shared" ca="1" si="1"/>
        <v>1</v>
      </c>
    </row>
    <row r="66" spans="2:6" s="6" customFormat="1" x14ac:dyDescent="0.25">
      <c r="B66" s="6">
        <v>23</v>
      </c>
      <c r="C66" s="28">
        <f t="shared" ca="1" si="2"/>
        <v>0.40728265844534128</v>
      </c>
      <c r="D66" s="47">
        <f t="shared" ca="1" si="0"/>
        <v>3.9857667367052749</v>
      </c>
      <c r="F66" s="9">
        <f t="shared" ca="1" si="1"/>
        <v>1</v>
      </c>
    </row>
    <row r="67" spans="2:6" s="6" customFormat="1" x14ac:dyDescent="0.25">
      <c r="B67" s="6">
        <v>24</v>
      </c>
      <c r="C67" s="28">
        <f t="shared" ca="1" si="2"/>
        <v>0.44848205745221248</v>
      </c>
      <c r="D67" s="47">
        <f t="shared" ca="1" si="0"/>
        <v>4.2007005991988056</v>
      </c>
      <c r="F67" s="9">
        <f t="shared" ca="1" si="1"/>
        <v>1</v>
      </c>
    </row>
    <row r="68" spans="2:6" s="6" customFormat="1" x14ac:dyDescent="0.25">
      <c r="B68" s="6">
        <v>25</v>
      </c>
      <c r="C68" s="28">
        <f t="shared" ca="1" si="2"/>
        <v>6.1749749222967054E-2</v>
      </c>
      <c r="D68" s="47">
        <f t="shared" ca="1" si="0"/>
        <v>2.07482154561542</v>
      </c>
      <c r="F68" s="9">
        <f t="shared" ca="1" si="1"/>
        <v>1</v>
      </c>
    </row>
    <row r="69" spans="2:6" s="6" customFormat="1" x14ac:dyDescent="0.25">
      <c r="B69" s="6">
        <v>26</v>
      </c>
      <c r="C69" s="28">
        <f t="shared" ca="1" si="2"/>
        <v>0.4272224008241513</v>
      </c>
      <c r="D69" s="47">
        <f t="shared" ca="1" si="0"/>
        <v>4.0888955923853212</v>
      </c>
      <c r="F69" s="9">
        <f t="shared" ca="1" si="1"/>
        <v>1</v>
      </c>
    </row>
    <row r="70" spans="2:6" s="6" customFormat="1" x14ac:dyDescent="0.25">
      <c r="B70" s="6">
        <v>27</v>
      </c>
      <c r="C70" s="28">
        <f t="shared" ca="1" si="2"/>
        <v>0.25653983505982281</v>
      </c>
      <c r="D70" s="47">
        <f t="shared" ca="1" si="0"/>
        <v>3.2315925324565584</v>
      </c>
      <c r="F70" s="9">
        <f t="shared" ca="1" si="1"/>
        <v>1</v>
      </c>
    </row>
    <row r="71" spans="2:6" s="6" customFormat="1" x14ac:dyDescent="0.25">
      <c r="B71" s="6">
        <v>28</v>
      </c>
      <c r="C71" s="28">
        <f t="shared" ca="1" si="2"/>
        <v>0.3011513992537288</v>
      </c>
      <c r="D71" s="47">
        <f t="shared" ca="1" si="0"/>
        <v>3.4537274995387484</v>
      </c>
      <c r="F71" s="9">
        <f t="shared" ca="1" si="1"/>
        <v>1</v>
      </c>
    </row>
    <row r="72" spans="2:6" s="6" customFormat="1" x14ac:dyDescent="0.25">
      <c r="B72" s="6">
        <v>29</v>
      </c>
      <c r="C72" s="28">
        <f t="shared" ca="1" si="2"/>
        <v>0.3124586906794935</v>
      </c>
      <c r="D72" s="47">
        <f t="shared" ca="1" si="0"/>
        <v>3.5097803258305578</v>
      </c>
      <c r="F72" s="9">
        <f t="shared" ca="1" si="1"/>
        <v>1</v>
      </c>
    </row>
    <row r="73" spans="2:6" s="6" customFormat="1" x14ac:dyDescent="0.25">
      <c r="B73" s="6">
        <v>30</v>
      </c>
      <c r="C73" s="28">
        <f t="shared" ca="1" si="2"/>
        <v>0.46243513493294208</v>
      </c>
      <c r="D73" s="47">
        <f t="shared" ca="1" si="0"/>
        <v>4.2752801606116604</v>
      </c>
      <c r="F73" s="9">
        <f t="shared" ca="1" si="1"/>
        <v>1</v>
      </c>
    </row>
    <row r="74" spans="2:6" s="6" customFormat="1" x14ac:dyDescent="0.25">
      <c r="B74" s="6">
        <v>31</v>
      </c>
      <c r="C74" s="28">
        <f t="shared" ca="1" si="2"/>
        <v>0.87958168099484169</v>
      </c>
      <c r="D74" s="47">
        <f t="shared" ca="1" si="0"/>
        <v>8.0562572841113074</v>
      </c>
      <c r="F74" s="9">
        <f t="shared" ca="1" si="1"/>
        <v>0</v>
      </c>
    </row>
    <row r="75" spans="2:6" s="6" customFormat="1" x14ac:dyDescent="0.25">
      <c r="B75" s="6">
        <v>32</v>
      </c>
      <c r="C75" s="28">
        <f t="shared" ca="1" si="2"/>
        <v>0.90852609527847439</v>
      </c>
      <c r="D75" s="47">
        <f t="shared" ca="1" si="0"/>
        <v>8.7221581406993565</v>
      </c>
      <c r="F75" s="9">
        <f t="shared" ca="1" si="1"/>
        <v>0</v>
      </c>
    </row>
    <row r="76" spans="2:6" s="6" customFormat="1" x14ac:dyDescent="0.25">
      <c r="B76" s="6">
        <v>33</v>
      </c>
      <c r="C76" s="28">
        <f t="shared" ca="1" si="2"/>
        <v>6.8270689200454204E-2</v>
      </c>
      <c r="D76" s="47">
        <f t="shared" ca="1" si="0"/>
        <v>2.1288938724194422</v>
      </c>
      <c r="F76" s="9">
        <f t="shared" ca="1" si="1"/>
        <v>1</v>
      </c>
    </row>
    <row r="77" spans="2:6" s="6" customFormat="1" x14ac:dyDescent="0.25">
      <c r="B77" s="6">
        <v>34</v>
      </c>
      <c r="C77" s="28">
        <f t="shared" ca="1" si="2"/>
        <v>0.65029867515098438</v>
      </c>
      <c r="D77" s="47">
        <f t="shared" ca="1" si="0"/>
        <v>5.4361086117686845</v>
      </c>
      <c r="F77" s="9">
        <f t="shared" ca="1" si="1"/>
        <v>0</v>
      </c>
    </row>
    <row r="78" spans="2:6" s="6" customFormat="1" x14ac:dyDescent="0.25">
      <c r="B78" s="6">
        <v>35</v>
      </c>
      <c r="C78" s="28">
        <f t="shared" ca="1" si="2"/>
        <v>0.75794013837163254</v>
      </c>
      <c r="D78" s="47">
        <f t="shared" ca="1" si="0"/>
        <v>6.3588399330680501</v>
      </c>
      <c r="F78" s="9">
        <f t="shared" ca="1" si="1"/>
        <v>0</v>
      </c>
    </row>
    <row r="79" spans="2:6" s="6" customFormat="1" x14ac:dyDescent="0.25">
      <c r="B79" s="6">
        <v>36</v>
      </c>
      <c r="C79" s="28">
        <f t="shared" ca="1" si="2"/>
        <v>0.52537538513240212</v>
      </c>
      <c r="D79" s="47">
        <f t="shared" ca="1" si="0"/>
        <v>4.6266117852738144</v>
      </c>
      <c r="F79" s="9">
        <f t="shared" ca="1" si="1"/>
        <v>1</v>
      </c>
    </row>
    <row r="80" spans="2:6" s="6" customFormat="1" x14ac:dyDescent="0.25">
      <c r="B80" s="6">
        <v>37</v>
      </c>
      <c r="C80" s="28">
        <f t="shared" ca="1" si="2"/>
        <v>5.3567163262824291E-3</v>
      </c>
      <c r="D80" s="47">
        <f t="shared" ca="1" si="0"/>
        <v>1.2511275981769607</v>
      </c>
      <c r="F80" s="9">
        <f t="shared" ca="1" si="1"/>
        <v>1</v>
      </c>
    </row>
    <row r="81" spans="2:6" s="6" customFormat="1" x14ac:dyDescent="0.25">
      <c r="B81" s="6">
        <v>38</v>
      </c>
      <c r="C81" s="28">
        <f t="shared" ca="1" si="2"/>
        <v>0.95917871754079409</v>
      </c>
      <c r="D81" s="47">
        <f t="shared" ca="1" si="0"/>
        <v>10.703994759888234</v>
      </c>
      <c r="F81" s="9">
        <f t="shared" ca="1" si="1"/>
        <v>0</v>
      </c>
    </row>
    <row r="82" spans="2:6" s="6" customFormat="1" x14ac:dyDescent="0.25">
      <c r="B82" s="6">
        <v>39</v>
      </c>
      <c r="C82" s="28">
        <f t="shared" ca="1" si="2"/>
        <v>0.13528592712774101</v>
      </c>
      <c r="D82" s="47">
        <f t="shared" ca="1" si="0"/>
        <v>2.5834525525905669</v>
      </c>
      <c r="F82" s="9">
        <f t="shared" ca="1" si="1"/>
        <v>1</v>
      </c>
    </row>
    <row r="83" spans="2:6" s="6" customFormat="1" x14ac:dyDescent="0.25">
      <c r="B83" s="6">
        <v>40</v>
      </c>
      <c r="C83" s="28">
        <f t="shared" ca="1" si="2"/>
        <v>0.48607037805631714</v>
      </c>
      <c r="D83" s="47">
        <f t="shared" ca="1" si="0"/>
        <v>4.4041102781799379</v>
      </c>
      <c r="F83" s="9">
        <f t="shared" ca="1" si="1"/>
        <v>1</v>
      </c>
    </row>
    <row r="84" spans="2:6" s="6" customFormat="1" x14ac:dyDescent="0.25">
      <c r="B84" s="6">
        <v>41</v>
      </c>
      <c r="C84" s="28">
        <f t="shared" ca="1" si="2"/>
        <v>0.48661223579196233</v>
      </c>
      <c r="D84" s="47">
        <f t="shared" ca="1" si="0"/>
        <v>4.4071039599710318</v>
      </c>
      <c r="F84" s="9">
        <f t="shared" ca="1" si="1"/>
        <v>1</v>
      </c>
    </row>
    <row r="85" spans="2:6" s="6" customFormat="1" x14ac:dyDescent="0.25">
      <c r="B85" s="6">
        <v>42</v>
      </c>
      <c r="C85" s="28">
        <f t="shared" ca="1" si="2"/>
        <v>6.1968768272721686E-2</v>
      </c>
      <c r="D85" s="47">
        <f t="shared" ca="1" si="0"/>
        <v>2.076684793253126</v>
      </c>
      <c r="F85" s="9">
        <f t="shared" ca="1" si="1"/>
        <v>1</v>
      </c>
    </row>
    <row r="86" spans="2:6" s="6" customFormat="1" x14ac:dyDescent="0.25">
      <c r="B86" s="6">
        <v>43</v>
      </c>
      <c r="C86" s="28">
        <f t="shared" ca="1" si="2"/>
        <v>0.55456249515309164</v>
      </c>
      <c r="D86" s="47">
        <f t="shared" ca="1" si="0"/>
        <v>4.7999166147184429</v>
      </c>
      <c r="F86" s="9">
        <f t="shared" ca="1" si="1"/>
        <v>1</v>
      </c>
    </row>
    <row r="87" spans="2:6" s="6" customFormat="1" x14ac:dyDescent="0.25">
      <c r="B87" s="6">
        <v>44</v>
      </c>
      <c r="C87" s="28">
        <f t="shared" ca="1" si="2"/>
        <v>0.86683334776134258</v>
      </c>
      <c r="D87" s="47">
        <f t="shared" ca="1" si="0"/>
        <v>7.8128757715118997</v>
      </c>
      <c r="F87" s="9">
        <f t="shared" ca="1" si="1"/>
        <v>0</v>
      </c>
    </row>
    <row r="88" spans="2:6" s="6" customFormat="1" x14ac:dyDescent="0.25">
      <c r="B88" s="6">
        <v>45</v>
      </c>
      <c r="C88" s="28">
        <f t="shared" ca="1" si="2"/>
        <v>0.21633698533153001</v>
      </c>
      <c r="D88" s="47">
        <f t="shared" ca="1" si="0"/>
        <v>3.0273508455715006</v>
      </c>
      <c r="F88" s="9">
        <f t="shared" ca="1" si="1"/>
        <v>1</v>
      </c>
    </row>
    <row r="89" spans="2:6" s="6" customFormat="1" x14ac:dyDescent="0.25">
      <c r="B89" s="6">
        <v>46</v>
      </c>
      <c r="C89" s="28">
        <f t="shared" ca="1" si="2"/>
        <v>0.8050815401526088</v>
      </c>
      <c r="D89" s="47">
        <f t="shared" ca="1" si="0"/>
        <v>6.8892110678847871</v>
      </c>
      <c r="F89" s="9">
        <f t="shared" ca="1" si="1"/>
        <v>0</v>
      </c>
    </row>
    <row r="90" spans="2:6" s="6" customFormat="1" x14ac:dyDescent="0.25">
      <c r="B90" s="6">
        <v>47</v>
      </c>
      <c r="C90" s="28">
        <f t="shared" ca="1" si="2"/>
        <v>0.81587561422520893</v>
      </c>
      <c r="D90" s="47">
        <f t="shared" ca="1" si="0"/>
        <v>7.0278389989112275</v>
      </c>
      <c r="F90" s="9">
        <f t="shared" ca="1" si="1"/>
        <v>0</v>
      </c>
    </row>
    <row r="91" spans="2:6" s="6" customFormat="1" x14ac:dyDescent="0.25">
      <c r="B91" s="6">
        <v>48</v>
      </c>
      <c r="C91" s="28">
        <f t="shared" ca="1" si="2"/>
        <v>9.9451441985971112E-2</v>
      </c>
      <c r="D91" s="47">
        <f t="shared" ca="1" si="0"/>
        <v>2.3576331608605496</v>
      </c>
      <c r="F91" s="9">
        <f t="shared" ca="1" si="1"/>
        <v>1</v>
      </c>
    </row>
    <row r="92" spans="2:6" s="6" customFormat="1" x14ac:dyDescent="0.25">
      <c r="B92" s="6">
        <v>49</v>
      </c>
      <c r="C92" s="28">
        <f t="shared" ca="1" si="2"/>
        <v>0.95834884831771083</v>
      </c>
      <c r="D92" s="47">
        <f t="shared" ca="1" si="0"/>
        <v>10.653828381592401</v>
      </c>
      <c r="F92" s="9">
        <f t="shared" ca="1" si="1"/>
        <v>0</v>
      </c>
    </row>
    <row r="93" spans="2:6" s="6" customFormat="1" x14ac:dyDescent="0.25">
      <c r="B93" s="6">
        <v>50</v>
      </c>
      <c r="C93" s="28">
        <f t="shared" ca="1" si="2"/>
        <v>0.89872012315086014</v>
      </c>
      <c r="D93" s="47">
        <f t="shared" ca="1" si="0"/>
        <v>8.4752171721393346</v>
      </c>
      <c r="F93" s="9">
        <f t="shared" ca="1" si="1"/>
        <v>0</v>
      </c>
    </row>
    <row r="94" spans="2:6" s="6" customFormat="1" x14ac:dyDescent="0.25">
      <c r="B94" s="6">
        <v>51</v>
      </c>
      <c r="C94" s="28">
        <f t="shared" ca="1" si="2"/>
        <v>0.78542352369741797</v>
      </c>
      <c r="D94" s="47">
        <f t="shared" ca="1" si="0"/>
        <v>6.6546840898040909</v>
      </c>
      <c r="F94" s="9">
        <f t="shared" ca="1" si="1"/>
        <v>0</v>
      </c>
    </row>
    <row r="95" spans="2:6" s="6" customFormat="1" x14ac:dyDescent="0.25">
      <c r="B95" s="6">
        <v>52</v>
      </c>
      <c r="C95" s="28">
        <f t="shared" ca="1" si="2"/>
        <v>0.11453447354107227</v>
      </c>
      <c r="D95" s="47">
        <f t="shared" ca="1" si="0"/>
        <v>2.4562103723344082</v>
      </c>
      <c r="F95" s="9">
        <f t="shared" ca="1" si="1"/>
        <v>1</v>
      </c>
    </row>
    <row r="96" spans="2:6" s="6" customFormat="1" x14ac:dyDescent="0.25">
      <c r="B96" s="6">
        <v>53</v>
      </c>
      <c r="C96" s="28">
        <f t="shared" ca="1" si="2"/>
        <v>4.681510228964203E-2</v>
      </c>
      <c r="D96" s="47">
        <f t="shared" ca="1" si="0"/>
        <v>1.9381312136298876</v>
      </c>
      <c r="F96" s="9">
        <f t="shared" ca="1" si="1"/>
        <v>1</v>
      </c>
    </row>
    <row r="97" spans="2:6" s="6" customFormat="1" x14ac:dyDescent="0.25">
      <c r="B97" s="6">
        <v>54</v>
      </c>
      <c r="C97" s="28">
        <f t="shared" ca="1" si="2"/>
        <v>0.40400277129802487</v>
      </c>
      <c r="D97" s="47">
        <f t="shared" ca="1" si="0"/>
        <v>3.9689441163991934</v>
      </c>
      <c r="F97" s="9">
        <f t="shared" ca="1" si="1"/>
        <v>1</v>
      </c>
    </row>
    <row r="98" spans="2:6" s="6" customFormat="1" x14ac:dyDescent="0.25">
      <c r="B98" s="6">
        <v>55</v>
      </c>
      <c r="C98" s="28">
        <f t="shared" ca="1" si="2"/>
        <v>2.1788231414998083E-2</v>
      </c>
      <c r="D98" s="47">
        <f t="shared" ca="1" si="0"/>
        <v>1.6338332540341682</v>
      </c>
      <c r="F98" s="9">
        <f t="shared" ca="1" si="1"/>
        <v>1</v>
      </c>
    </row>
    <row r="99" spans="2:6" s="6" customFormat="1" x14ac:dyDescent="0.25">
      <c r="B99" s="6">
        <v>56</v>
      </c>
      <c r="C99" s="28">
        <f t="shared" ca="1" si="2"/>
        <v>0.54910620834069435</v>
      </c>
      <c r="D99" s="47">
        <f t="shared" ca="1" si="0"/>
        <v>4.766926470811601</v>
      </c>
      <c r="F99" s="9">
        <f t="shared" ca="1" si="1"/>
        <v>1</v>
      </c>
    </row>
    <row r="100" spans="2:6" s="6" customFormat="1" x14ac:dyDescent="0.25">
      <c r="B100" s="6">
        <v>57</v>
      </c>
      <c r="C100" s="28">
        <f t="shared" ca="1" si="2"/>
        <v>0.58851068024235365</v>
      </c>
      <c r="D100" s="47">
        <f t="shared" ca="1" si="0"/>
        <v>5.0121139830880841</v>
      </c>
      <c r="F100" s="9">
        <f t="shared" ca="1" si="1"/>
        <v>0</v>
      </c>
    </row>
    <row r="101" spans="2:6" s="6" customFormat="1" x14ac:dyDescent="0.25">
      <c r="B101" s="6">
        <v>58</v>
      </c>
      <c r="C101" s="28">
        <f t="shared" ca="1" si="2"/>
        <v>0.8803049576364026</v>
      </c>
      <c r="D101" s="47">
        <f t="shared" ca="1" si="0"/>
        <v>8.0708299400189158</v>
      </c>
      <c r="F101" s="9">
        <f t="shared" ca="1" si="1"/>
        <v>0</v>
      </c>
    </row>
    <row r="102" spans="2:6" s="6" customFormat="1" x14ac:dyDescent="0.25">
      <c r="B102" s="6">
        <v>59</v>
      </c>
      <c r="C102" s="28">
        <f t="shared" ca="1" si="2"/>
        <v>0.10185217708911043</v>
      </c>
      <c r="D102" s="47">
        <f t="shared" ca="1" si="0"/>
        <v>2.3737378238736677</v>
      </c>
      <c r="F102" s="9">
        <f t="shared" ca="1" si="1"/>
        <v>1</v>
      </c>
    </row>
    <row r="103" spans="2:6" s="6" customFormat="1" x14ac:dyDescent="0.25">
      <c r="B103" s="6">
        <v>60</v>
      </c>
      <c r="C103" s="28">
        <f t="shared" ca="1" si="2"/>
        <v>0.13327897922947252</v>
      </c>
      <c r="D103" s="47">
        <f t="shared" ca="1" si="0"/>
        <v>2.571496254674138</v>
      </c>
      <c r="F103" s="9">
        <f t="shared" ca="1" si="1"/>
        <v>1</v>
      </c>
    </row>
    <row r="104" spans="2:6" s="6" customFormat="1" x14ac:dyDescent="0.25">
      <c r="B104" s="6">
        <v>61</v>
      </c>
      <c r="C104" s="28">
        <f t="shared" ca="1" si="2"/>
        <v>0.62526073567331053</v>
      </c>
      <c r="D104" s="47">
        <f t="shared" ca="1" si="0"/>
        <v>5.2575414946365351</v>
      </c>
      <c r="F104" s="9">
        <f t="shared" ca="1" si="1"/>
        <v>0</v>
      </c>
    </row>
    <row r="105" spans="2:6" s="6" customFormat="1" x14ac:dyDescent="0.25">
      <c r="B105" s="6">
        <v>62</v>
      </c>
      <c r="C105" s="28">
        <f t="shared" ca="1" si="2"/>
        <v>9.0715602906032866E-2</v>
      </c>
      <c r="D105" s="47">
        <f t="shared" ca="1" si="0"/>
        <v>2.2974948756650031</v>
      </c>
      <c r="F105" s="9">
        <f t="shared" ca="1" si="1"/>
        <v>1</v>
      </c>
    </row>
    <row r="106" spans="2:6" s="6" customFormat="1" x14ac:dyDescent="0.25">
      <c r="B106" s="6">
        <v>63</v>
      </c>
      <c r="C106" s="28">
        <f t="shared" ca="1" si="2"/>
        <v>0.94805731290459716</v>
      </c>
      <c r="D106" s="47">
        <f t="shared" ca="1" si="0"/>
        <v>10.106220477084582</v>
      </c>
      <c r="F106" s="9">
        <f t="shared" ca="1" si="1"/>
        <v>0</v>
      </c>
    </row>
    <row r="107" spans="2:6" s="6" customFormat="1" x14ac:dyDescent="0.25">
      <c r="B107" s="6">
        <v>64</v>
      </c>
      <c r="C107" s="28">
        <f t="shared" ca="1" si="2"/>
        <v>0.94164126753321531</v>
      </c>
      <c r="D107" s="47">
        <f t="shared" ca="1" si="0"/>
        <v>9.8193098943370867</v>
      </c>
      <c r="F107" s="9">
        <f t="shared" ca="1" si="1"/>
        <v>0</v>
      </c>
    </row>
    <row r="108" spans="2:6" s="6" customFormat="1" x14ac:dyDescent="0.25">
      <c r="B108" s="6">
        <v>65</v>
      </c>
      <c r="C108" s="28">
        <f t="shared" ca="1" si="2"/>
        <v>0.85534772142860638</v>
      </c>
      <c r="D108" s="47">
        <f t="shared" ca="1" si="0"/>
        <v>7.6127481595736084</v>
      </c>
      <c r="F108" s="9">
        <f t="shared" ca="1" si="1"/>
        <v>0</v>
      </c>
    </row>
    <row r="109" spans="2:6" s="6" customFormat="1" x14ac:dyDescent="0.25">
      <c r="B109" s="6">
        <v>66</v>
      </c>
      <c r="C109" s="28">
        <f t="shared" ca="1" si="2"/>
        <v>0.85208124550508979</v>
      </c>
      <c r="D109" s="47">
        <f t="shared" ref="D109:D143" ca="1" si="3">LOGINV(C109,$C$5,$C$6)</f>
        <v>7.5587110481439579</v>
      </c>
      <c r="F109" s="9">
        <f t="shared" ref="F109:F143" ca="1" si="4">IF(D109&gt;$D$13,0,1)</f>
        <v>0</v>
      </c>
    </row>
    <row r="110" spans="2:6" s="6" customFormat="1" x14ac:dyDescent="0.25">
      <c r="B110" s="6">
        <v>67</v>
      </c>
      <c r="C110" s="28">
        <f t="shared" ref="C110:C143" ca="1" si="5">RAND()</f>
        <v>0.40180551512707974</v>
      </c>
      <c r="D110" s="47">
        <f t="shared" ca="1" si="3"/>
        <v>3.9576948664128846</v>
      </c>
      <c r="F110" s="9">
        <f t="shared" ca="1" si="4"/>
        <v>1</v>
      </c>
    </row>
    <row r="111" spans="2:6" s="6" customFormat="1" x14ac:dyDescent="0.25">
      <c r="B111" s="6">
        <v>68</v>
      </c>
      <c r="C111" s="28">
        <f t="shared" ca="1" si="5"/>
        <v>0.92769581753841046</v>
      </c>
      <c r="D111" s="47">
        <f t="shared" ca="1" si="3"/>
        <v>9.2944869796717349</v>
      </c>
      <c r="F111" s="9">
        <f t="shared" ca="1" si="4"/>
        <v>0</v>
      </c>
    </row>
    <row r="112" spans="2:6" s="6" customFormat="1" x14ac:dyDescent="0.25">
      <c r="B112" s="6">
        <v>69</v>
      </c>
      <c r="C112" s="28">
        <f t="shared" ca="1" si="5"/>
        <v>0.20223565595831061</v>
      </c>
      <c r="D112" s="47">
        <f t="shared" ca="1" si="3"/>
        <v>2.9540256090695665</v>
      </c>
      <c r="F112" s="9">
        <f t="shared" ca="1" si="4"/>
        <v>1</v>
      </c>
    </row>
    <row r="113" spans="2:6" s="6" customFormat="1" x14ac:dyDescent="0.25">
      <c r="B113" s="6">
        <v>70</v>
      </c>
      <c r="C113" s="28">
        <f t="shared" ca="1" si="5"/>
        <v>0.20212492729866738</v>
      </c>
      <c r="D113" s="47">
        <f t="shared" ca="1" si="3"/>
        <v>2.9534452744336486</v>
      </c>
      <c r="F113" s="9">
        <f t="shared" ca="1" si="4"/>
        <v>1</v>
      </c>
    </row>
    <row r="114" spans="2:6" s="6" customFormat="1" x14ac:dyDescent="0.25">
      <c r="B114" s="6">
        <v>71</v>
      </c>
      <c r="C114" s="28">
        <f t="shared" ca="1" si="5"/>
        <v>0.98914498808600559</v>
      </c>
      <c r="D114" s="47">
        <f t="shared" ca="1" si="3"/>
        <v>14.121544891519692</v>
      </c>
      <c r="F114" s="9">
        <f t="shared" ca="1" si="4"/>
        <v>0</v>
      </c>
    </row>
    <row r="115" spans="2:6" s="6" customFormat="1" x14ac:dyDescent="0.25">
      <c r="B115" s="6">
        <v>72</v>
      </c>
      <c r="C115" s="28">
        <f t="shared" ca="1" si="5"/>
        <v>0.71807897623051642</v>
      </c>
      <c r="D115" s="47">
        <f t="shared" ca="1" si="3"/>
        <v>5.9809062321421127</v>
      </c>
      <c r="F115" s="9">
        <f t="shared" ca="1" si="4"/>
        <v>0</v>
      </c>
    </row>
    <row r="116" spans="2:6" s="6" customFormat="1" x14ac:dyDescent="0.25">
      <c r="B116" s="6">
        <v>73</v>
      </c>
      <c r="C116" s="28">
        <f t="shared" ca="1" si="5"/>
        <v>0.65895938358433193</v>
      </c>
      <c r="D116" s="47">
        <f t="shared" ca="1" si="3"/>
        <v>5.5003535872482674</v>
      </c>
      <c r="F116" s="9">
        <f t="shared" ca="1" si="4"/>
        <v>0</v>
      </c>
    </row>
    <row r="117" spans="2:6" s="6" customFormat="1" x14ac:dyDescent="0.25">
      <c r="B117" s="6">
        <v>74</v>
      </c>
      <c r="C117" s="28">
        <f t="shared" ca="1" si="5"/>
        <v>0.55778731994166286</v>
      </c>
      <c r="D117" s="47">
        <f t="shared" ca="1" si="3"/>
        <v>4.8195512084547421</v>
      </c>
      <c r="F117" s="9">
        <f t="shared" ca="1" si="4"/>
        <v>1</v>
      </c>
    </row>
    <row r="118" spans="2:6" s="6" customFormat="1" x14ac:dyDescent="0.25">
      <c r="B118" s="6">
        <v>75</v>
      </c>
      <c r="C118" s="28">
        <f t="shared" ca="1" si="5"/>
        <v>0.21157654934616477</v>
      </c>
      <c r="D118" s="47">
        <f t="shared" ca="1" si="3"/>
        <v>3.0027199504901163</v>
      </c>
      <c r="F118" s="9">
        <f t="shared" ca="1" si="4"/>
        <v>1</v>
      </c>
    </row>
    <row r="119" spans="2:6" s="6" customFormat="1" x14ac:dyDescent="0.25">
      <c r="B119" s="6">
        <v>76</v>
      </c>
      <c r="C119" s="28">
        <f t="shared" ca="1" si="5"/>
        <v>0.7474710356552563</v>
      </c>
      <c r="D119" s="47">
        <f t="shared" ca="1" si="3"/>
        <v>6.2543443624925139</v>
      </c>
      <c r="F119" s="9">
        <f t="shared" ca="1" si="4"/>
        <v>0</v>
      </c>
    </row>
    <row r="120" spans="2:6" s="6" customFormat="1" x14ac:dyDescent="0.25">
      <c r="B120" s="6">
        <v>77</v>
      </c>
      <c r="C120" s="28">
        <f t="shared" ca="1" si="5"/>
        <v>0.73105841983130493</v>
      </c>
      <c r="D120" s="47">
        <f t="shared" ca="1" si="3"/>
        <v>6.0982912301313021</v>
      </c>
      <c r="F120" s="9">
        <f t="shared" ca="1" si="4"/>
        <v>0</v>
      </c>
    </row>
    <row r="121" spans="2:6" s="6" customFormat="1" x14ac:dyDescent="0.25">
      <c r="B121" s="6">
        <v>78</v>
      </c>
      <c r="C121" s="28">
        <f t="shared" ca="1" si="5"/>
        <v>0.34977008191075332</v>
      </c>
      <c r="D121" s="47">
        <f t="shared" ca="1" si="3"/>
        <v>3.6951803567159964</v>
      </c>
      <c r="F121" s="9">
        <f t="shared" ca="1" si="4"/>
        <v>1</v>
      </c>
    </row>
    <row r="122" spans="2:6" s="6" customFormat="1" x14ac:dyDescent="0.25">
      <c r="B122" s="6">
        <v>79</v>
      </c>
      <c r="C122" s="28">
        <f t="shared" ca="1" si="5"/>
        <v>0.73190145169693355</v>
      </c>
      <c r="D122" s="47">
        <f t="shared" ca="1" si="3"/>
        <v>6.1060919478950675</v>
      </c>
      <c r="F122" s="9">
        <f t="shared" ca="1" si="4"/>
        <v>0</v>
      </c>
    </row>
    <row r="123" spans="2:6" s="6" customFormat="1" x14ac:dyDescent="0.25">
      <c r="B123" s="6">
        <v>80</v>
      </c>
      <c r="C123" s="28">
        <f t="shared" ca="1" si="5"/>
        <v>0.15835110456848078</v>
      </c>
      <c r="D123" s="47">
        <f t="shared" ca="1" si="3"/>
        <v>2.7165728947163061</v>
      </c>
      <c r="F123" s="9">
        <f t="shared" ca="1" si="4"/>
        <v>1</v>
      </c>
    </row>
    <row r="124" spans="2:6" s="6" customFormat="1" x14ac:dyDescent="0.25">
      <c r="B124" s="6">
        <v>81</v>
      </c>
      <c r="C124" s="28">
        <f t="shared" ca="1" si="5"/>
        <v>0.15680388959698588</v>
      </c>
      <c r="D124" s="47">
        <f t="shared" ca="1" si="3"/>
        <v>2.7078627109610443</v>
      </c>
      <c r="F124" s="9">
        <f t="shared" ca="1" si="4"/>
        <v>1</v>
      </c>
    </row>
    <row r="125" spans="2:6" s="6" customFormat="1" x14ac:dyDescent="0.25">
      <c r="B125" s="6">
        <v>82</v>
      </c>
      <c r="C125" s="28">
        <f t="shared" ca="1" si="5"/>
        <v>0.85549825983460936</v>
      </c>
      <c r="D125" s="47">
        <f t="shared" ca="1" si="3"/>
        <v>7.6152675629262241</v>
      </c>
      <c r="F125" s="9">
        <f t="shared" ca="1" si="4"/>
        <v>0</v>
      </c>
    </row>
    <row r="126" spans="2:6" s="6" customFormat="1" x14ac:dyDescent="0.25">
      <c r="B126" s="6">
        <v>83</v>
      </c>
      <c r="C126" s="28">
        <f t="shared" ca="1" si="5"/>
        <v>0.38244891165813077</v>
      </c>
      <c r="D126" s="47">
        <f t="shared" ca="1" si="3"/>
        <v>3.8592479440655056</v>
      </c>
      <c r="F126" s="9">
        <f t="shared" ca="1" si="4"/>
        <v>1</v>
      </c>
    </row>
    <row r="127" spans="2:6" s="6" customFormat="1" x14ac:dyDescent="0.25">
      <c r="B127" s="6">
        <v>84</v>
      </c>
      <c r="C127" s="28">
        <f t="shared" ca="1" si="5"/>
        <v>0.68074947956584209</v>
      </c>
      <c r="D127" s="47">
        <f t="shared" ca="1" si="3"/>
        <v>5.6683485380992309</v>
      </c>
      <c r="F127" s="9">
        <f t="shared" ca="1" si="4"/>
        <v>0</v>
      </c>
    </row>
    <row r="128" spans="2:6" s="6" customFormat="1" x14ac:dyDescent="0.25">
      <c r="B128" s="6">
        <v>85</v>
      </c>
      <c r="C128" s="28">
        <f t="shared" ca="1" si="5"/>
        <v>0.66715185363219909</v>
      </c>
      <c r="D128" s="47">
        <f t="shared" ca="1" si="3"/>
        <v>5.562407626434072</v>
      </c>
      <c r="F128" s="9">
        <f t="shared" ca="1" si="4"/>
        <v>0</v>
      </c>
    </row>
    <row r="129" spans="2:6" s="6" customFormat="1" x14ac:dyDescent="0.25">
      <c r="B129" s="6">
        <v>86</v>
      </c>
      <c r="C129" s="28">
        <f t="shared" ca="1" si="5"/>
        <v>0.94649941731542875</v>
      </c>
      <c r="D129" s="47">
        <f t="shared" ca="1" si="3"/>
        <v>10.03330323903683</v>
      </c>
      <c r="F129" s="9">
        <f t="shared" ca="1" si="4"/>
        <v>0</v>
      </c>
    </row>
    <row r="130" spans="2:6" s="6" customFormat="1" x14ac:dyDescent="0.25">
      <c r="B130" s="6">
        <v>87</v>
      </c>
      <c r="C130" s="28">
        <f t="shared" ca="1" si="5"/>
        <v>0.15987484851956513</v>
      </c>
      <c r="D130" s="47">
        <f t="shared" ca="1" si="3"/>
        <v>2.7251236662261706</v>
      </c>
      <c r="F130" s="9">
        <f t="shared" ca="1" si="4"/>
        <v>1</v>
      </c>
    </row>
    <row r="131" spans="2:6" s="6" customFormat="1" x14ac:dyDescent="0.25">
      <c r="B131" s="6">
        <v>88</v>
      </c>
      <c r="C131" s="28">
        <f t="shared" ca="1" si="5"/>
        <v>0.29580965691799732</v>
      </c>
      <c r="D131" s="47">
        <f t="shared" ca="1" si="3"/>
        <v>3.4272374998396113</v>
      </c>
      <c r="F131" s="9">
        <f t="shared" ca="1" si="4"/>
        <v>1</v>
      </c>
    </row>
    <row r="132" spans="2:6" s="6" customFormat="1" x14ac:dyDescent="0.25">
      <c r="B132" s="6">
        <v>89</v>
      </c>
      <c r="C132" s="28">
        <f t="shared" ca="1" si="5"/>
        <v>0.6071475409630025</v>
      </c>
      <c r="D132" s="47">
        <f t="shared" ca="1" si="3"/>
        <v>5.1343132430101015</v>
      </c>
      <c r="F132" s="9">
        <f t="shared" ca="1" si="4"/>
        <v>0</v>
      </c>
    </row>
    <row r="133" spans="2:6" s="6" customFormat="1" x14ac:dyDescent="0.25">
      <c r="B133" s="6">
        <v>90</v>
      </c>
      <c r="C133" s="28">
        <f t="shared" ca="1" si="5"/>
        <v>0.23395838968033555</v>
      </c>
      <c r="D133" s="47">
        <f t="shared" ca="1" si="3"/>
        <v>3.1176004578383134</v>
      </c>
      <c r="F133" s="9">
        <f t="shared" ca="1" si="4"/>
        <v>1</v>
      </c>
    </row>
    <row r="134" spans="2:6" s="6" customFormat="1" x14ac:dyDescent="0.25">
      <c r="B134" s="6">
        <v>91</v>
      </c>
      <c r="C134" s="28">
        <f t="shared" ca="1" si="5"/>
        <v>0.93816340850303548</v>
      </c>
      <c r="D134" s="47">
        <f t="shared" ca="1" si="3"/>
        <v>9.6771616661714592</v>
      </c>
      <c r="F134" s="9">
        <f t="shared" ca="1" si="4"/>
        <v>0</v>
      </c>
    </row>
    <row r="135" spans="2:6" s="6" customFormat="1" x14ac:dyDescent="0.25">
      <c r="B135" s="6">
        <v>92</v>
      </c>
      <c r="C135" s="28">
        <f t="shared" ca="1" si="5"/>
        <v>0.90849691945682631</v>
      </c>
      <c r="D135" s="47">
        <f t="shared" ca="1" si="3"/>
        <v>8.7213841245293473</v>
      </c>
      <c r="F135" s="9">
        <f t="shared" ca="1" si="4"/>
        <v>0</v>
      </c>
    </row>
    <row r="136" spans="2:6" s="6" customFormat="1" x14ac:dyDescent="0.25">
      <c r="B136" s="6">
        <v>93</v>
      </c>
      <c r="C136" s="28">
        <f t="shared" ca="1" si="5"/>
        <v>0.16814273675849378</v>
      </c>
      <c r="D136" s="47">
        <f t="shared" ca="1" si="3"/>
        <v>2.7710733223172208</v>
      </c>
      <c r="F136" s="9">
        <f t="shared" ca="1" si="4"/>
        <v>1</v>
      </c>
    </row>
    <row r="137" spans="2:6" s="6" customFormat="1" x14ac:dyDescent="0.25">
      <c r="B137" s="6">
        <v>94</v>
      </c>
      <c r="C137" s="28">
        <f t="shared" ca="1" si="5"/>
        <v>0.27438583154670493</v>
      </c>
      <c r="D137" s="47">
        <f t="shared" ca="1" si="3"/>
        <v>3.3207780632350175</v>
      </c>
      <c r="F137" s="9">
        <f t="shared" ca="1" si="4"/>
        <v>1</v>
      </c>
    </row>
    <row r="138" spans="2:6" s="6" customFormat="1" x14ac:dyDescent="0.25">
      <c r="B138" s="6">
        <v>95</v>
      </c>
      <c r="C138" s="28">
        <f t="shared" ca="1" si="5"/>
        <v>0.27295534463511728</v>
      </c>
      <c r="D138" s="47">
        <f t="shared" ca="1" si="3"/>
        <v>3.3136503996091204</v>
      </c>
      <c r="F138" s="9">
        <f t="shared" ca="1" si="4"/>
        <v>1</v>
      </c>
    </row>
    <row r="139" spans="2:6" s="6" customFormat="1" x14ac:dyDescent="0.25">
      <c r="B139" s="6">
        <v>96</v>
      </c>
      <c r="C139" s="28">
        <f t="shared" ca="1" si="5"/>
        <v>0.98955505253747444</v>
      </c>
      <c r="D139" s="47">
        <f t="shared" ca="1" si="3"/>
        <v>14.224762428764052</v>
      </c>
      <c r="F139" s="9">
        <f t="shared" ca="1" si="4"/>
        <v>0</v>
      </c>
    </row>
    <row r="140" spans="2:6" s="6" customFormat="1" x14ac:dyDescent="0.25">
      <c r="B140" s="6">
        <v>97</v>
      </c>
      <c r="C140" s="28">
        <f t="shared" ca="1" si="5"/>
        <v>0.47928421083508999</v>
      </c>
      <c r="D140" s="47">
        <f t="shared" ca="1" si="3"/>
        <v>4.3667757827442131</v>
      </c>
      <c r="F140" s="9">
        <f t="shared" ca="1" si="4"/>
        <v>1</v>
      </c>
    </row>
    <row r="141" spans="2:6" s="6" customFormat="1" x14ac:dyDescent="0.25">
      <c r="B141" s="6">
        <v>98</v>
      </c>
      <c r="C141" s="28">
        <f t="shared" ca="1" si="5"/>
        <v>0.2108813800561784</v>
      </c>
      <c r="D141" s="47">
        <f t="shared" ca="1" si="3"/>
        <v>2.9991130694438657</v>
      </c>
      <c r="F141" s="9">
        <f t="shared" ca="1" si="4"/>
        <v>1</v>
      </c>
    </row>
    <row r="142" spans="2:6" s="6" customFormat="1" x14ac:dyDescent="0.25">
      <c r="B142" s="6">
        <v>99</v>
      </c>
      <c r="C142" s="28">
        <f t="shared" ca="1" si="5"/>
        <v>2.7292983471973953E-2</v>
      </c>
      <c r="D142" s="47">
        <f t="shared" ca="1" si="3"/>
        <v>1.7141568829211646</v>
      </c>
      <c r="F142" s="9">
        <f t="shared" ca="1" si="4"/>
        <v>1</v>
      </c>
    </row>
    <row r="143" spans="2:6" s="6" customFormat="1" x14ac:dyDescent="0.25">
      <c r="B143" s="6">
        <v>100</v>
      </c>
      <c r="C143" s="28">
        <f t="shared" ca="1" si="5"/>
        <v>0.24479729260002681</v>
      </c>
      <c r="D143" s="47">
        <f t="shared" ca="1" si="3"/>
        <v>3.172510112536099</v>
      </c>
      <c r="F143" s="9">
        <f t="shared" ca="1" si="4"/>
        <v>1</v>
      </c>
    </row>
  </sheetData>
  <sheetProtection sheet="1" objects="1" scenarios="1"/>
  <mergeCells count="1">
    <mergeCell ref="A29:D29"/>
  </mergeCells>
  <hyperlinks>
    <hyperlink ref="G1" r:id="rId1" xr:uid="{00000000-0004-0000-0800-000000000000}"/>
    <hyperlink ref="F19" r:id="rId2" xr:uid="{00000000-0004-0000-0800-000001000000}"/>
  </hyperlinks>
  <pageMargins left="0.7" right="0.7" top="0.75" bottom="0.75" header="0.3" footer="0.3"/>
  <pageSetup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Bayes-Binomial</vt:lpstr>
      <vt:lpstr>Bayes-Poisson</vt:lpstr>
      <vt:lpstr>Bayes-Exponential</vt:lpstr>
      <vt:lpstr>Beta</vt:lpstr>
      <vt:lpstr>Binomial</vt:lpstr>
      <vt:lpstr>Exponential</vt:lpstr>
      <vt:lpstr>Gamma</vt:lpstr>
      <vt:lpstr>GEV</vt:lpstr>
      <vt:lpstr>Lognormal</vt:lpstr>
      <vt:lpstr>Normal</vt:lpstr>
      <vt:lpstr>Poisson</vt:lpstr>
      <vt:lpstr>Uniform</vt:lpstr>
      <vt:lpstr>Weibull</vt:lpstr>
      <vt:lpstr>Calc_Area</vt:lpstr>
      <vt:lpstr>Norm_Area</vt:lpstr>
      <vt:lpstr>Norm_Seq</vt:lpstr>
      <vt:lpstr>Norm_X</vt:lpstr>
      <vt:lpstr>Norm_Y</vt:lpstr>
      <vt:lpstr>Exponential!OLE_LINK2</vt:lpstr>
      <vt:lpstr>Gamma!OLE_LINK2</vt:lpstr>
      <vt:lpstr>GEV!OLE_LINK2</vt:lpstr>
      <vt:lpstr>Weibull!OLE_LINK2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Smith</dc:creator>
  <cp:lastModifiedBy>Windows User</cp:lastModifiedBy>
  <dcterms:created xsi:type="dcterms:W3CDTF">2012-12-11T01:39:20Z</dcterms:created>
  <dcterms:modified xsi:type="dcterms:W3CDTF">2019-03-06T21:21:48Z</dcterms:modified>
</cp:coreProperties>
</file>